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hidePivotFieldList="1" defaultThemeVersion="124226"/>
  <bookViews>
    <workbookView xWindow="120" yWindow="45" windowWidth="19020" windowHeight="11640" tabRatio="716" firstSheet="1" activeTab="1"/>
  </bookViews>
  <sheets>
    <sheet name="Resumo" sheetId="33" state="hidden" r:id="rId1"/>
    <sheet name="Janeiro" sheetId="14" r:id="rId2"/>
    <sheet name="Fevereiro" sheetId="15" r:id="rId3"/>
    <sheet name="Março" sheetId="16" r:id="rId4"/>
    <sheet name="Abril" sheetId="17" r:id="rId5"/>
    <sheet name="Maio" sheetId="18" r:id="rId6"/>
    <sheet name="Junho" sheetId="19" r:id="rId7"/>
    <sheet name="Julho" sheetId="20" r:id="rId8"/>
    <sheet name="Agosto" sheetId="22" r:id="rId9"/>
    <sheet name="Setembro" sheetId="21" r:id="rId10"/>
    <sheet name="Outubro" sheetId="25" r:id="rId11"/>
    <sheet name="Janeiro_11" sheetId="1" state="hidden" r:id="rId12"/>
    <sheet name="Fevereiro_11" sheetId="3" state="hidden" r:id="rId13"/>
    <sheet name="Março_11" sheetId="4" state="hidden" r:id="rId14"/>
    <sheet name="Abril_11" sheetId="2" state="hidden" r:id="rId15"/>
    <sheet name="Maio_11" sheetId="5" state="hidden" r:id="rId16"/>
    <sheet name="Junho_11" sheetId="6" state="hidden" r:id="rId17"/>
    <sheet name="Julho_11" sheetId="7" state="hidden" r:id="rId18"/>
    <sheet name="Agosto_11" sheetId="10" state="hidden" r:id="rId19"/>
    <sheet name="Setembro_11" sheetId="9" state="hidden" r:id="rId20"/>
    <sheet name="Outubro_11" sheetId="8" state="hidden" r:id="rId21"/>
    <sheet name="Novembro_11" sheetId="13" state="hidden" r:id="rId22"/>
    <sheet name="Dezembro_11" sheetId="12" state="hidden" r:id="rId23"/>
    <sheet name="Novembro" sheetId="28" r:id="rId24"/>
    <sheet name="Dezembro" sheetId="29" r:id="rId25"/>
    <sheet name="Dados" sheetId="31" state="hidden" r:id="rId26"/>
  </sheets>
  <definedNames>
    <definedName name="_xlnm._FilterDatabase" localSheetId="25" hidden="1">Dados!$D$2:$H$201</definedName>
  </definedNames>
  <calcPr calcId="145621"/>
  <pivotCaches>
    <pivotCache cacheId="0" r:id="rId27"/>
    <pivotCache cacheId="1" r:id="rId28"/>
  </pivotCaches>
</workbook>
</file>

<file path=xl/calcChain.xml><?xml version="1.0" encoding="utf-8"?>
<calcChain xmlns="http://schemas.openxmlformats.org/spreadsheetml/2006/main">
  <c r="E29" i="15" l="1"/>
  <c r="D29" i="15"/>
  <c r="E28" i="15"/>
  <c r="E27" i="15"/>
  <c r="E26" i="15"/>
  <c r="D24" i="15"/>
  <c r="E24" i="15" s="1"/>
  <c r="E23" i="15"/>
  <c r="E22" i="15"/>
  <c r="E19" i="15"/>
  <c r="E18" i="15"/>
  <c r="E17" i="15"/>
  <c r="E16" i="15"/>
  <c r="I15" i="15"/>
  <c r="E15" i="15"/>
  <c r="I14" i="15"/>
  <c r="D14" i="15"/>
  <c r="D20" i="15" s="1"/>
  <c r="E20" i="15" s="1"/>
  <c r="I13" i="15"/>
  <c r="D9" i="15"/>
  <c r="C9" i="15"/>
  <c r="D29" i="29"/>
  <c r="E29" i="29" s="1"/>
  <c r="E28" i="29"/>
  <c r="E27" i="29"/>
  <c r="E26" i="29"/>
  <c r="D24" i="29"/>
  <c r="E24" i="29" s="1"/>
  <c r="E23" i="29"/>
  <c r="E22" i="29"/>
  <c r="E19" i="29"/>
  <c r="E18" i="29"/>
  <c r="E17" i="29"/>
  <c r="E16" i="29"/>
  <c r="I15" i="29"/>
  <c r="E15" i="29"/>
  <c r="I14" i="29"/>
  <c r="I13" i="29"/>
  <c r="D9" i="29"/>
  <c r="C9" i="29"/>
  <c r="D14" i="29" s="1"/>
  <c r="D20" i="29" s="1"/>
  <c r="E20" i="29" s="1"/>
  <c r="D29" i="28"/>
  <c r="E29" i="28" s="1"/>
  <c r="E28" i="28"/>
  <c r="E27" i="28"/>
  <c r="E26" i="28"/>
  <c r="D24" i="28"/>
  <c r="E24" i="28" s="1"/>
  <c r="E23" i="28"/>
  <c r="E22" i="28"/>
  <c r="E19" i="28"/>
  <c r="E18" i="28"/>
  <c r="E17" i="28"/>
  <c r="E16" i="28"/>
  <c r="E15" i="28"/>
  <c r="I14" i="28"/>
  <c r="D14" i="28"/>
  <c r="D20" i="28" s="1"/>
  <c r="E20" i="28" s="1"/>
  <c r="I13" i="28"/>
  <c r="D9" i="28"/>
  <c r="C9" i="28"/>
  <c r="E29" i="25"/>
  <c r="D29" i="25"/>
  <c r="E28" i="25"/>
  <c r="E27" i="25"/>
  <c r="E26" i="25"/>
  <c r="D24" i="25"/>
  <c r="E24" i="25" s="1"/>
  <c r="E23" i="25"/>
  <c r="E22" i="25"/>
  <c r="E19" i="25"/>
  <c r="E18" i="25"/>
  <c r="E17" i="25"/>
  <c r="E16" i="25"/>
  <c r="I15" i="25"/>
  <c r="E15" i="25"/>
  <c r="I14" i="25"/>
  <c r="D14" i="25"/>
  <c r="D20" i="25" s="1"/>
  <c r="E20" i="25" s="1"/>
  <c r="I13" i="25"/>
  <c r="D9" i="25"/>
  <c r="C9" i="25"/>
  <c r="D29" i="21"/>
  <c r="E29" i="21" s="1"/>
  <c r="E28" i="21"/>
  <c r="E27" i="21"/>
  <c r="E26" i="21"/>
  <c r="D24" i="21"/>
  <c r="E24" i="21" s="1"/>
  <c r="E23" i="21"/>
  <c r="E22" i="21"/>
  <c r="E19" i="21"/>
  <c r="E18" i="21"/>
  <c r="E17" i="21"/>
  <c r="E16" i="21"/>
  <c r="I15" i="21"/>
  <c r="E15" i="21"/>
  <c r="I14" i="21"/>
  <c r="I13" i="21"/>
  <c r="D9" i="21"/>
  <c r="C9" i="21"/>
  <c r="D14" i="21" s="1"/>
  <c r="D20" i="21" s="1"/>
  <c r="E20" i="21" s="1"/>
  <c r="E29" i="22"/>
  <c r="D29" i="22"/>
  <c r="E28" i="22"/>
  <c r="E27" i="22"/>
  <c r="E26" i="22"/>
  <c r="D24" i="22"/>
  <c r="E24" i="22" s="1"/>
  <c r="E23" i="22"/>
  <c r="E22" i="22"/>
  <c r="E19" i="22"/>
  <c r="E18" i="22"/>
  <c r="E17" i="22"/>
  <c r="E16" i="22"/>
  <c r="I15" i="22"/>
  <c r="E15" i="22"/>
  <c r="I14" i="22"/>
  <c r="D14" i="22"/>
  <c r="D20" i="22" s="1"/>
  <c r="E20" i="22" s="1"/>
  <c r="I13" i="22"/>
  <c r="D9" i="22"/>
  <c r="C9" i="22"/>
  <c r="G6" i="22"/>
  <c r="D29" i="20"/>
  <c r="E29" i="20" s="1"/>
  <c r="E28" i="20"/>
  <c r="E27" i="20"/>
  <c r="E26" i="20"/>
  <c r="D24" i="20"/>
  <c r="E24" i="20" s="1"/>
  <c r="E23" i="20"/>
  <c r="E22" i="20"/>
  <c r="E19" i="20"/>
  <c r="E18" i="20"/>
  <c r="E17" i="20"/>
  <c r="E16" i="20"/>
  <c r="E15" i="20"/>
  <c r="I14" i="20"/>
  <c r="D14" i="20"/>
  <c r="D20" i="20" s="1"/>
  <c r="E20" i="20" s="1"/>
  <c r="I13" i="20"/>
  <c r="D9" i="20"/>
  <c r="C9" i="20"/>
  <c r="E29" i="19"/>
  <c r="D29" i="19"/>
  <c r="E28" i="19"/>
  <c r="E27" i="19"/>
  <c r="E26" i="19"/>
  <c r="D24" i="19"/>
  <c r="E24" i="19" s="1"/>
  <c r="E23" i="19"/>
  <c r="E22" i="19"/>
  <c r="E19" i="19"/>
  <c r="E18" i="19"/>
  <c r="E17" i="19"/>
  <c r="E16" i="19"/>
  <c r="I15" i="19"/>
  <c r="E15" i="19"/>
  <c r="I14" i="19"/>
  <c r="D14" i="19"/>
  <c r="G6" i="19" s="1"/>
  <c r="I13" i="19"/>
  <c r="D9" i="19"/>
  <c r="C9" i="19"/>
  <c r="D29" i="18"/>
  <c r="E29" i="18" s="1"/>
  <c r="E28" i="18"/>
  <c r="E27" i="18"/>
  <c r="E26" i="18"/>
  <c r="D24" i="18"/>
  <c r="E24" i="18" s="1"/>
  <c r="E23" i="18"/>
  <c r="E22" i="18"/>
  <c r="E19" i="18"/>
  <c r="E18" i="18"/>
  <c r="E17" i="18"/>
  <c r="E16" i="18"/>
  <c r="E15" i="18"/>
  <c r="I14" i="18"/>
  <c r="D14" i="18"/>
  <c r="G6" i="18" s="1"/>
  <c r="I13" i="18"/>
  <c r="D9" i="18"/>
  <c r="C9" i="18"/>
  <c r="D29" i="17"/>
  <c r="E29" i="17" s="1"/>
  <c r="E28" i="17"/>
  <c r="E27" i="17"/>
  <c r="E26" i="17"/>
  <c r="D24" i="17"/>
  <c r="E24" i="17" s="1"/>
  <c r="E23" i="17"/>
  <c r="E22" i="17"/>
  <c r="E19" i="17"/>
  <c r="E18" i="17"/>
  <c r="E17" i="17"/>
  <c r="E16" i="17"/>
  <c r="I15" i="17"/>
  <c r="E15" i="17"/>
  <c r="I14" i="17"/>
  <c r="D14" i="17"/>
  <c r="D20" i="17" s="1"/>
  <c r="E20" i="17" s="1"/>
  <c r="I13" i="17"/>
  <c r="D9" i="17"/>
  <c r="C9" i="17"/>
  <c r="D29" i="16"/>
  <c r="E29" i="16" s="1"/>
  <c r="E28" i="16"/>
  <c r="E27" i="16"/>
  <c r="E26" i="16"/>
  <c r="D24" i="16"/>
  <c r="E24" i="16" s="1"/>
  <c r="E23" i="16"/>
  <c r="E22" i="16"/>
  <c r="E19" i="16"/>
  <c r="E18" i="16"/>
  <c r="E17" i="16"/>
  <c r="E16" i="16"/>
  <c r="E15" i="16"/>
  <c r="I14" i="16"/>
  <c r="I13" i="16"/>
  <c r="D9" i="16"/>
  <c r="C9" i="16"/>
  <c r="D14" i="16" s="1"/>
  <c r="D20" i="16" s="1"/>
  <c r="E20" i="16" s="1"/>
  <c r="D9" i="14"/>
  <c r="C9" i="14"/>
  <c r="D14" i="14" s="1"/>
  <c r="E14" i="14" s="1"/>
  <c r="I15" i="28" l="1"/>
  <c r="I17" i="28" s="1"/>
  <c r="I15" i="20"/>
  <c r="I17" i="20" s="1"/>
  <c r="I15" i="18"/>
  <c r="I17" i="18" s="1"/>
  <c r="I17" i="15"/>
  <c r="I15" i="16"/>
  <c r="I17" i="16" s="1"/>
  <c r="E14" i="15"/>
  <c r="D31" i="15"/>
  <c r="I17" i="29"/>
  <c r="G6" i="29"/>
  <c r="I17" i="17"/>
  <c r="E14" i="29"/>
  <c r="D31" i="29"/>
  <c r="I17" i="25"/>
  <c r="D31" i="28"/>
  <c r="I17" i="19"/>
  <c r="G6" i="28"/>
  <c r="I17" i="22"/>
  <c r="I17" i="21"/>
  <c r="E14" i="28"/>
  <c r="G6" i="25"/>
  <c r="E14" i="25"/>
  <c r="D31" i="25"/>
  <c r="G6" i="21"/>
  <c r="E14" i="21"/>
  <c r="D31" i="21"/>
  <c r="E14" i="22"/>
  <c r="D31" i="22"/>
  <c r="E14" i="20"/>
  <c r="D31" i="20"/>
  <c r="G6" i="20"/>
  <c r="E14" i="19"/>
  <c r="D31" i="19"/>
  <c r="D20" i="19"/>
  <c r="E20" i="19" s="1"/>
  <c r="E14" i="18"/>
  <c r="D31" i="18"/>
  <c r="D20" i="18"/>
  <c r="E20" i="18" s="1"/>
  <c r="G6" i="17"/>
  <c r="E14" i="17"/>
  <c r="D31" i="17"/>
  <c r="G6" i="16"/>
  <c r="E14" i="16"/>
  <c r="D31" i="16"/>
  <c r="I14" i="14"/>
  <c r="I13" i="14"/>
  <c r="E31" i="15" l="1"/>
  <c r="G6" i="15"/>
  <c r="E31" i="29"/>
  <c r="E31" i="28"/>
  <c r="E31" i="25"/>
  <c r="E31" i="21"/>
  <c r="E31" i="22"/>
  <c r="E31" i="20"/>
  <c r="E31" i="19"/>
  <c r="E31" i="18"/>
  <c r="E31" i="17"/>
  <c r="E31" i="16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H158" i="31"/>
  <c r="I158" i="31" s="1"/>
  <c r="H159" i="31"/>
  <c r="I159" i="31" s="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4" i="31"/>
  <c r="H103" i="31" l="1"/>
  <c r="I103" i="31" s="1"/>
  <c r="H101" i="31"/>
  <c r="I101" i="31" s="1"/>
  <c r="H108" i="31"/>
  <c r="I108" i="31" s="1"/>
  <c r="H107" i="31"/>
  <c r="I48" i="31"/>
  <c r="H10" i="31"/>
  <c r="I10" i="31" s="1"/>
  <c r="I107" i="31"/>
  <c r="I94" i="31"/>
  <c r="I93" i="31"/>
  <c r="I92" i="31"/>
  <c r="I84" i="31"/>
  <c r="I83" i="31"/>
  <c r="I82" i="31"/>
  <c r="I81" i="31"/>
  <c r="I80" i="31"/>
  <c r="I79" i="31"/>
  <c r="I78" i="31"/>
  <c r="I77" i="31"/>
  <c r="I76" i="31"/>
  <c r="I75" i="31"/>
  <c r="I74" i="31"/>
  <c r="I72" i="31"/>
  <c r="I71" i="31"/>
  <c r="I70" i="31"/>
  <c r="I69" i="31"/>
  <c r="I68" i="31"/>
  <c r="I64" i="31"/>
  <c r="I63" i="31"/>
  <c r="I62" i="31"/>
  <c r="I61" i="31"/>
  <c r="I60" i="31"/>
  <c r="I59" i="31"/>
  <c r="I58" i="31"/>
  <c r="I57" i="31"/>
  <c r="I56" i="31"/>
  <c r="I55" i="31"/>
  <c r="I54" i="31"/>
  <c r="I53" i="31"/>
  <c r="I52" i="31"/>
  <c r="I51" i="31"/>
  <c r="I50" i="31"/>
  <c r="I49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3" i="31"/>
  <c r="I12" i="3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1" i="31"/>
  <c r="I191" i="31" s="1"/>
  <c r="H192" i="31"/>
  <c r="I192" i="31" s="1"/>
  <c r="H193" i="31"/>
  <c r="I193" i="31" s="1"/>
  <c r="H194" i="31"/>
  <c r="I194" i="31" s="1"/>
  <c r="H189" i="31"/>
  <c r="I189" i="31" s="1"/>
  <c r="H188" i="31"/>
  <c r="H190" i="31" s="1"/>
  <c r="I190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5" i="31"/>
  <c r="I175" i="31" s="1"/>
  <c r="H174" i="31"/>
  <c r="H176" i="31" s="1"/>
  <c r="I176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1" i="31"/>
  <c r="I161" i="31" s="1"/>
  <c r="H160" i="31"/>
  <c r="H162" i="31" s="1"/>
  <c r="I162" i="31" s="1"/>
  <c r="H96" i="31"/>
  <c r="I96" i="31" s="1"/>
  <c r="H95" i="31"/>
  <c r="H91" i="31"/>
  <c r="H90" i="31"/>
  <c r="I90" i="31" s="1"/>
  <c r="H89" i="31"/>
  <c r="I89" i="31" s="1"/>
  <c r="H88" i="31"/>
  <c r="I88" i="31" s="1"/>
  <c r="H87" i="31"/>
  <c r="I87" i="31" s="1"/>
  <c r="H86" i="31"/>
  <c r="I86" i="31" s="1"/>
  <c r="H128" i="31"/>
  <c r="I128" i="31" s="1"/>
  <c r="H127" i="31"/>
  <c r="I127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44" i="31"/>
  <c r="I144" i="31" s="1"/>
  <c r="H143" i="31"/>
  <c r="I143" i="31" s="1"/>
  <c r="H140" i="31"/>
  <c r="I140" i="31" s="1"/>
  <c r="H139" i="31"/>
  <c r="I139" i="31" s="1"/>
  <c r="H138" i="31"/>
  <c r="I13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6" i="31"/>
  <c r="I146" i="31" s="1"/>
  <c r="H145" i="31"/>
  <c r="H147" i="31" s="1"/>
  <c r="I147" i="31" s="1"/>
  <c r="H142" i="31"/>
  <c r="I142" i="31" s="1"/>
  <c r="H141" i="31"/>
  <c r="I141" i="31" s="1"/>
  <c r="H132" i="31"/>
  <c r="I132" i="31" s="1"/>
  <c r="H130" i="31"/>
  <c r="I130" i="31" s="1"/>
  <c r="H129" i="31"/>
  <c r="H131" i="31" s="1"/>
  <c r="I131" i="31" s="1"/>
  <c r="H126" i="31"/>
  <c r="I126" i="31" s="1"/>
  <c r="H125" i="31"/>
  <c r="I125" i="31" s="1"/>
  <c r="H116" i="31"/>
  <c r="I116" i="31" s="1"/>
  <c r="H114" i="31"/>
  <c r="I114" i="31" s="1"/>
  <c r="H113" i="31"/>
  <c r="H115" i="31" s="1"/>
  <c r="I115" i="31" s="1"/>
  <c r="H112" i="31"/>
  <c r="I112" i="31" s="1"/>
  <c r="H111" i="31"/>
  <c r="I111" i="31" s="1"/>
  <c r="H110" i="31"/>
  <c r="I110" i="31" s="1"/>
  <c r="H109" i="31"/>
  <c r="I109" i="31" s="1"/>
  <c r="H106" i="31"/>
  <c r="H105" i="31"/>
  <c r="I105" i="31" s="1"/>
  <c r="H104" i="31"/>
  <c r="I104" i="31" s="1"/>
  <c r="H102" i="31"/>
  <c r="I102" i="31" s="1"/>
  <c r="H99" i="31"/>
  <c r="H98" i="31"/>
  <c r="H100" i="31" s="1"/>
  <c r="I100" i="31" s="1"/>
  <c r="H85" i="31"/>
  <c r="I85" i="31" s="1"/>
  <c r="H73" i="31"/>
  <c r="I73" i="31" s="1"/>
  <c r="H66" i="31"/>
  <c r="I66" i="31" s="1"/>
  <c r="H65" i="31"/>
  <c r="H67" i="31" s="1"/>
  <c r="I67" i="31" s="1"/>
  <c r="H14" i="31"/>
  <c r="I14" i="31" s="1"/>
  <c r="I65" i="31" l="1"/>
  <c r="H7" i="31"/>
  <c r="I7" i="31" s="1"/>
  <c r="H4" i="31"/>
  <c r="I4" i="31" s="1"/>
  <c r="H6" i="31"/>
  <c r="I6" i="31" s="1"/>
  <c r="H9" i="31"/>
  <c r="I9" i="31" s="1"/>
  <c r="H5" i="31"/>
  <c r="I5" i="31" s="1"/>
  <c r="I91" i="31"/>
  <c r="I95" i="31"/>
  <c r="I99" i="31"/>
  <c r="I113" i="31"/>
  <c r="I129" i="31"/>
  <c r="I145" i="31"/>
  <c r="I174" i="31"/>
  <c r="I98" i="31"/>
  <c r="I106" i="31"/>
  <c r="I160" i="31"/>
  <c r="I188" i="31"/>
  <c r="H3" i="31"/>
  <c r="I3" i="31" s="1"/>
  <c r="H97" i="31" l="1"/>
  <c r="H8" i="31" l="1"/>
  <c r="I8" i="31" s="1"/>
  <c r="I97" i="31"/>
  <c r="E28" i="14" l="1"/>
  <c r="E27" i="14"/>
  <c r="D29" i="14"/>
  <c r="I15" i="14" s="1"/>
  <c r="I17" i="14" s="1"/>
  <c r="E26" i="14"/>
  <c r="D24" i="14"/>
  <c r="E24" i="14" s="1"/>
  <c r="E23" i="14"/>
  <c r="E22" i="14"/>
  <c r="E19" i="14"/>
  <c r="E18" i="14"/>
  <c r="E17" i="14"/>
  <c r="E16" i="14"/>
  <c r="E15" i="14"/>
  <c r="D31" i="14"/>
  <c r="G6" i="14" s="1"/>
  <c r="E31" i="12"/>
  <c r="F31" i="12" s="1"/>
  <c r="N27" i="12"/>
  <c r="N31" i="12" s="1"/>
  <c r="N34" i="12" s="1"/>
  <c r="M34" i="12"/>
  <c r="N30" i="12"/>
  <c r="J33" i="12"/>
  <c r="E30" i="12"/>
  <c r="E29" i="12"/>
  <c r="F30" i="12"/>
  <c r="A30" i="12"/>
  <c r="A32" i="12"/>
  <c r="A29" i="12"/>
  <c r="F28" i="12"/>
  <c r="A28" i="12"/>
  <c r="A27" i="12"/>
  <c r="E24" i="12"/>
  <c r="F12" i="12"/>
  <c r="A12" i="12"/>
  <c r="F24" i="13"/>
  <c r="F22" i="13"/>
  <c r="A22" i="13"/>
  <c r="D38" i="13"/>
  <c r="E36" i="13"/>
  <c r="E35" i="13"/>
  <c r="A30" i="13"/>
  <c r="A29" i="13"/>
  <c r="A28" i="13"/>
  <c r="A27" i="13"/>
  <c r="A26" i="13"/>
  <c r="A25" i="13"/>
  <c r="E26" i="13"/>
  <c r="F26" i="13" s="1"/>
  <c r="A23" i="13"/>
  <c r="A21" i="13"/>
  <c r="E20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J8" i="13"/>
  <c r="A8" i="13"/>
  <c r="J7" i="13"/>
  <c r="B7" i="13"/>
  <c r="A7" i="13" s="1"/>
  <c r="A6" i="13"/>
  <c r="E7" i="13"/>
  <c r="J6" i="13" s="1"/>
  <c r="K50" i="8"/>
  <c r="K48" i="8"/>
  <c r="K43" i="8"/>
  <c r="J44" i="8"/>
  <c r="J45" i="8" s="1"/>
  <c r="K45" i="8" s="1"/>
  <c r="E36" i="5"/>
  <c r="E43" i="5"/>
  <c r="E45" i="5" s="1"/>
  <c r="J16" i="13" l="1"/>
  <c r="E32" i="12"/>
  <c r="F32" i="12" s="1"/>
  <c r="D20" i="14"/>
  <c r="E29" i="14"/>
  <c r="E31" i="14"/>
  <c r="K44" i="8"/>
  <c r="J53" i="8"/>
  <c r="K53" i="8"/>
  <c r="J15" i="13"/>
  <c r="F29" i="12"/>
  <c r="J10" i="13"/>
  <c r="E38" i="13"/>
  <c r="J14" i="13"/>
  <c r="E14" i="13"/>
  <c r="F14" i="13" s="1"/>
  <c r="E28" i="13"/>
  <c r="F28" i="13" s="1"/>
  <c r="F7" i="13"/>
  <c r="H3" i="13"/>
  <c r="F9" i="13"/>
  <c r="F10" i="13"/>
  <c r="F17" i="13"/>
  <c r="F18" i="13"/>
  <c r="F20" i="13"/>
  <c r="F25" i="13"/>
  <c r="F8" i="13"/>
  <c r="F11" i="13"/>
  <c r="F12" i="13"/>
  <c r="F13" i="13"/>
  <c r="F16" i="13"/>
  <c r="F19" i="13"/>
  <c r="F23" i="13"/>
  <c r="E28" i="8"/>
  <c r="D3" i="8"/>
  <c r="F24" i="8" s="1"/>
  <c r="C3" i="8"/>
  <c r="E27" i="8"/>
  <c r="A24" i="9"/>
  <c r="E43" i="8"/>
  <c r="D46" i="8"/>
  <c r="E44" i="8"/>
  <c r="F12" i="8"/>
  <c r="A12" i="8"/>
  <c r="F12" i="9"/>
  <c r="A12" i="9"/>
  <c r="A26" i="10"/>
  <c r="A25" i="10"/>
  <c r="F13" i="10"/>
  <c r="J23" i="7"/>
  <c r="E20" i="14" l="1"/>
  <c r="E46" i="8"/>
  <c r="F30" i="8"/>
  <c r="J18" i="13"/>
  <c r="F27" i="8"/>
  <c r="F28" i="8"/>
  <c r="J3" i="13"/>
  <c r="L3" i="13" s="1"/>
  <c r="F25" i="8"/>
  <c r="F32" i="8"/>
  <c r="F26" i="8"/>
  <c r="F29" i="8"/>
  <c r="F31" i="8"/>
  <c r="F26" i="10"/>
  <c r="E22" i="7"/>
  <c r="F24" i="9" l="1"/>
  <c r="F25" i="10"/>
  <c r="F24" i="7"/>
  <c r="A37" i="12"/>
  <c r="A36" i="12"/>
  <c r="A35" i="12"/>
  <c r="A34" i="12"/>
  <c r="E26" i="12"/>
  <c r="F26" i="12" s="1"/>
  <c r="A33" i="12"/>
  <c r="F25" i="12"/>
  <c r="A26" i="12"/>
  <c r="F24" i="12"/>
  <c r="A24" i="12"/>
  <c r="F23" i="12"/>
  <c r="A23" i="12"/>
  <c r="A22" i="12"/>
  <c r="E21" i="12"/>
  <c r="F21" i="12" s="1"/>
  <c r="A21" i="12"/>
  <c r="F20" i="12"/>
  <c r="A20" i="12"/>
  <c r="F19" i="12"/>
  <c r="A19" i="12"/>
  <c r="F18" i="12"/>
  <c r="A18" i="12"/>
  <c r="F17" i="12"/>
  <c r="A17" i="12"/>
  <c r="J15" i="12" s="1"/>
  <c r="A16" i="12"/>
  <c r="A15" i="12"/>
  <c r="F14" i="12"/>
  <c r="A14" i="12"/>
  <c r="F13" i="12"/>
  <c r="A13" i="12"/>
  <c r="F11" i="12"/>
  <c r="A11" i="12"/>
  <c r="F10" i="12"/>
  <c r="A10" i="12"/>
  <c r="F9" i="12"/>
  <c r="A9" i="12"/>
  <c r="F8" i="12"/>
  <c r="A8" i="12"/>
  <c r="J7" i="12"/>
  <c r="E7" i="12"/>
  <c r="B7" i="12"/>
  <c r="A7" i="12" s="1"/>
  <c r="J6" i="12"/>
  <c r="A6" i="12"/>
  <c r="A38" i="8"/>
  <c r="A37" i="8"/>
  <c r="A36" i="8"/>
  <c r="A35" i="8"/>
  <c r="E34" i="8"/>
  <c r="F34" i="8" s="1"/>
  <c r="A34" i="8"/>
  <c r="F33" i="8"/>
  <c r="A33" i="8"/>
  <c r="F23" i="8"/>
  <c r="A23" i="8"/>
  <c r="F22" i="8"/>
  <c r="A22" i="8"/>
  <c r="A21" i="8"/>
  <c r="E20" i="8"/>
  <c r="F20" i="8" s="1"/>
  <c r="A20" i="8"/>
  <c r="F19" i="8"/>
  <c r="A19" i="8"/>
  <c r="F18" i="8"/>
  <c r="A18" i="8"/>
  <c r="F17" i="8"/>
  <c r="A17" i="8"/>
  <c r="F16" i="8"/>
  <c r="A16" i="8"/>
  <c r="J16" i="8"/>
  <c r="A15" i="8"/>
  <c r="A14" i="8"/>
  <c r="F13" i="8"/>
  <c r="A13" i="8"/>
  <c r="F11" i="8"/>
  <c r="A11" i="8"/>
  <c r="F10" i="8"/>
  <c r="A10" i="8"/>
  <c r="F9" i="8"/>
  <c r="A9" i="8"/>
  <c r="J8" i="8"/>
  <c r="F8" i="8"/>
  <c r="A8" i="8"/>
  <c r="J7" i="8"/>
  <c r="E7" i="8"/>
  <c r="B7" i="8"/>
  <c r="A7" i="8" s="1"/>
  <c r="J6" i="8"/>
  <c r="A6" i="8"/>
  <c r="E34" i="9"/>
  <c r="E41" i="9" s="1"/>
  <c r="E43" i="9" s="1"/>
  <c r="A30" i="9"/>
  <c r="A29" i="9"/>
  <c r="A28" i="9"/>
  <c r="A27" i="9"/>
  <c r="E26" i="9"/>
  <c r="F26" i="9" s="1"/>
  <c r="A26" i="9"/>
  <c r="F25" i="9"/>
  <c r="A25" i="9"/>
  <c r="F23" i="9"/>
  <c r="A23" i="9"/>
  <c r="F22" i="9"/>
  <c r="A22" i="9"/>
  <c r="A21" i="9"/>
  <c r="E20" i="9"/>
  <c r="F20" i="9" s="1"/>
  <c r="A20" i="9"/>
  <c r="F19" i="9"/>
  <c r="A19" i="9"/>
  <c r="F18" i="9"/>
  <c r="A18" i="9"/>
  <c r="F17" i="9"/>
  <c r="A17" i="9"/>
  <c r="F16" i="9"/>
  <c r="A16" i="9"/>
  <c r="A15" i="9"/>
  <c r="A14" i="9"/>
  <c r="F13" i="9"/>
  <c r="A13" i="9"/>
  <c r="F11" i="9"/>
  <c r="A11" i="9"/>
  <c r="F10" i="9"/>
  <c r="A10" i="9"/>
  <c r="F9" i="9"/>
  <c r="A9" i="9"/>
  <c r="J8" i="9"/>
  <c r="F8" i="9"/>
  <c r="A8" i="9"/>
  <c r="J7" i="9"/>
  <c r="E7" i="9"/>
  <c r="E28" i="9" s="1"/>
  <c r="B7" i="9"/>
  <c r="A7" i="9" s="1"/>
  <c r="J6" i="9"/>
  <c r="A6" i="9"/>
  <c r="H3" i="9"/>
  <c r="E36" i="10"/>
  <c r="E43" i="10" s="1"/>
  <c r="E45" i="10" s="1"/>
  <c r="A32" i="10"/>
  <c r="A31" i="10"/>
  <c r="A30" i="10"/>
  <c r="A29" i="10"/>
  <c r="E28" i="10"/>
  <c r="F28" i="10" s="1"/>
  <c r="A28" i="10"/>
  <c r="F27" i="10"/>
  <c r="A27" i="10"/>
  <c r="F24" i="10"/>
  <c r="A24" i="10"/>
  <c r="F23" i="10"/>
  <c r="A23" i="10"/>
  <c r="A22" i="10"/>
  <c r="E21" i="10"/>
  <c r="F21" i="10" s="1"/>
  <c r="A21" i="10"/>
  <c r="F20" i="10"/>
  <c r="A20" i="10"/>
  <c r="F19" i="10"/>
  <c r="A19" i="10"/>
  <c r="F18" i="10"/>
  <c r="A18" i="10"/>
  <c r="F17" i="10"/>
  <c r="A17" i="10"/>
  <c r="J15" i="10" s="1"/>
  <c r="A16" i="10"/>
  <c r="A15" i="10"/>
  <c r="F14" i="10"/>
  <c r="A14" i="10"/>
  <c r="F12" i="10"/>
  <c r="A12" i="10"/>
  <c r="F11" i="10"/>
  <c r="A11" i="10"/>
  <c r="F10" i="10"/>
  <c r="A10" i="10"/>
  <c r="F9" i="10"/>
  <c r="A9" i="10"/>
  <c r="J8" i="10"/>
  <c r="F8" i="10"/>
  <c r="A8" i="10"/>
  <c r="J7" i="10"/>
  <c r="E7" i="10"/>
  <c r="E30" i="10" s="1"/>
  <c r="B7" i="10"/>
  <c r="A7" i="10" s="1"/>
  <c r="J6" i="10"/>
  <c r="A6" i="10"/>
  <c r="H3" i="10"/>
  <c r="A32" i="7"/>
  <c r="A31" i="7"/>
  <c r="A30" i="7"/>
  <c r="A29" i="7"/>
  <c r="E28" i="7"/>
  <c r="F28" i="7" s="1"/>
  <c r="A28" i="7"/>
  <c r="F27" i="7"/>
  <c r="A27" i="7"/>
  <c r="F26" i="7"/>
  <c r="A26" i="7"/>
  <c r="F25" i="7"/>
  <c r="F23" i="7"/>
  <c r="A23" i="7"/>
  <c r="F22" i="7"/>
  <c r="A22" i="7"/>
  <c r="A21" i="7"/>
  <c r="E20" i="7"/>
  <c r="F20" i="7" s="1"/>
  <c r="A20" i="7"/>
  <c r="F19" i="7"/>
  <c r="A19" i="7"/>
  <c r="F18" i="7"/>
  <c r="A18" i="7"/>
  <c r="F17" i="7"/>
  <c r="A17" i="7"/>
  <c r="F16" i="7"/>
  <c r="A16" i="7"/>
  <c r="J14" i="7" s="1"/>
  <c r="A15" i="7"/>
  <c r="A14" i="7"/>
  <c r="F13" i="7"/>
  <c r="A13" i="7"/>
  <c r="F12" i="7"/>
  <c r="A12" i="7"/>
  <c r="F11" i="7"/>
  <c r="A11" i="7"/>
  <c r="F10" i="7"/>
  <c r="A10" i="7"/>
  <c r="F9" i="7"/>
  <c r="A9" i="7"/>
  <c r="J8" i="7"/>
  <c r="F8" i="7"/>
  <c r="A8" i="7"/>
  <c r="J7" i="7"/>
  <c r="E7" i="7"/>
  <c r="E30" i="7" s="1"/>
  <c r="B7" i="7"/>
  <c r="A7" i="7" s="1"/>
  <c r="J6" i="7"/>
  <c r="A6" i="7"/>
  <c r="H3" i="7"/>
  <c r="F24" i="6"/>
  <c r="E36" i="6"/>
  <c r="E43" i="6" s="1"/>
  <c r="E45" i="6" s="1"/>
  <c r="A32" i="6"/>
  <c r="A31" i="6"/>
  <c r="A30" i="6"/>
  <c r="A29" i="6"/>
  <c r="E28" i="6"/>
  <c r="F28" i="6" s="1"/>
  <c r="A28" i="6"/>
  <c r="F27" i="6"/>
  <c r="A27" i="6"/>
  <c r="F26" i="6"/>
  <c r="A26" i="6"/>
  <c r="F25" i="6"/>
  <c r="F23" i="6"/>
  <c r="A23" i="6"/>
  <c r="F22" i="6"/>
  <c r="A22" i="6"/>
  <c r="A21" i="6"/>
  <c r="E20" i="6"/>
  <c r="F20" i="6" s="1"/>
  <c r="A20" i="6"/>
  <c r="F19" i="6"/>
  <c r="A19" i="6"/>
  <c r="F18" i="6"/>
  <c r="A18" i="6"/>
  <c r="F17" i="6"/>
  <c r="A17" i="6"/>
  <c r="F16" i="6"/>
  <c r="A16" i="6"/>
  <c r="J14" i="6" s="1"/>
  <c r="A15" i="6"/>
  <c r="A14" i="6"/>
  <c r="F13" i="6"/>
  <c r="A13" i="6"/>
  <c r="F12" i="6"/>
  <c r="A12" i="6"/>
  <c r="F11" i="6"/>
  <c r="A11" i="6"/>
  <c r="F10" i="6"/>
  <c r="A10" i="6"/>
  <c r="F9" i="6"/>
  <c r="A9" i="6"/>
  <c r="J8" i="6"/>
  <c r="F8" i="6"/>
  <c r="A8" i="6"/>
  <c r="J7" i="6"/>
  <c r="E7" i="6"/>
  <c r="H3" i="6" s="1"/>
  <c r="B7" i="6"/>
  <c r="A7" i="6" s="1"/>
  <c r="J6" i="6"/>
  <c r="A6" i="6"/>
  <c r="F25" i="5"/>
  <c r="F25" i="2"/>
  <c r="F24" i="5"/>
  <c r="J8" i="5"/>
  <c r="J7" i="5"/>
  <c r="J8" i="2"/>
  <c r="J7" i="2"/>
  <c r="A32" i="5"/>
  <c r="A31" i="5"/>
  <c r="A30" i="5"/>
  <c r="A29" i="5"/>
  <c r="A28" i="5"/>
  <c r="A27" i="5"/>
  <c r="A26" i="5"/>
  <c r="A23" i="5"/>
  <c r="A22" i="5"/>
  <c r="J15" i="5" s="1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6" i="5"/>
  <c r="A33" i="2"/>
  <c r="A32" i="2"/>
  <c r="A31" i="2"/>
  <c r="A30" i="2"/>
  <c r="A29" i="2"/>
  <c r="A28" i="2"/>
  <c r="A27" i="2"/>
  <c r="A26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6" i="2"/>
  <c r="F23" i="5"/>
  <c r="J14" i="9" l="1"/>
  <c r="J15" i="7"/>
  <c r="E34" i="12"/>
  <c r="F34" i="12" s="1"/>
  <c r="H3" i="12"/>
  <c r="J8" i="12"/>
  <c r="J10" i="12" s="1"/>
  <c r="J16" i="12"/>
  <c r="E36" i="8"/>
  <c r="F36" i="8" s="1"/>
  <c r="H3" i="8"/>
  <c r="J15" i="8"/>
  <c r="J10" i="8"/>
  <c r="J15" i="9"/>
  <c r="J13" i="9"/>
  <c r="F7" i="9"/>
  <c r="E14" i="9"/>
  <c r="F14" i="9" s="1"/>
  <c r="J16" i="10"/>
  <c r="F7" i="7"/>
  <c r="E14" i="7"/>
  <c r="F14" i="7" s="1"/>
  <c r="E30" i="6"/>
  <c r="J10" i="7"/>
  <c r="J10" i="10"/>
  <c r="J10" i="9"/>
  <c r="J14" i="8"/>
  <c r="F7" i="8"/>
  <c r="E14" i="8"/>
  <c r="F14" i="8" s="1"/>
  <c r="J14" i="12"/>
  <c r="F7" i="12"/>
  <c r="E15" i="12"/>
  <c r="F15" i="12" s="1"/>
  <c r="J3" i="8"/>
  <c r="L3" i="8" s="1"/>
  <c r="F28" i="9"/>
  <c r="J3" i="9"/>
  <c r="L3" i="9" s="1"/>
  <c r="J14" i="10"/>
  <c r="F7" i="10"/>
  <c r="E15" i="10"/>
  <c r="F15" i="10" s="1"/>
  <c r="F30" i="10"/>
  <c r="J3" i="10"/>
  <c r="L3" i="10" s="1"/>
  <c r="J13" i="7"/>
  <c r="J17" i="7" s="1"/>
  <c r="F30" i="7"/>
  <c r="J3" i="7"/>
  <c r="L3" i="7" s="1"/>
  <c r="J15" i="6"/>
  <c r="J10" i="6"/>
  <c r="F7" i="6"/>
  <c r="E14" i="6"/>
  <c r="F14" i="6" s="1"/>
  <c r="J13" i="6"/>
  <c r="J3" i="6"/>
  <c r="F30" i="6"/>
  <c r="J14" i="5"/>
  <c r="J15" i="2"/>
  <c r="J14" i="2"/>
  <c r="E28" i="5"/>
  <c r="F28" i="5" s="1"/>
  <c r="F27" i="5"/>
  <c r="F26" i="5"/>
  <c r="F22" i="5"/>
  <c r="E20" i="5"/>
  <c r="F20" i="5" s="1"/>
  <c r="F19" i="5"/>
  <c r="P16" i="5"/>
  <c r="O16" i="5"/>
  <c r="F18" i="5"/>
  <c r="F17" i="5"/>
  <c r="F16" i="5"/>
  <c r="F13" i="5"/>
  <c r="F12" i="5"/>
  <c r="F11" i="5"/>
  <c r="F10" i="5"/>
  <c r="F9" i="5"/>
  <c r="F8" i="5"/>
  <c r="E7" i="5"/>
  <c r="E30" i="5" s="1"/>
  <c r="B7" i="5"/>
  <c r="A7" i="5" s="1"/>
  <c r="J13" i="5" s="1"/>
  <c r="H3" i="5"/>
  <c r="E38" i="2"/>
  <c r="E45" i="2" s="1"/>
  <c r="E47" i="2" s="1"/>
  <c r="F26" i="2"/>
  <c r="J23" i="4"/>
  <c r="K23" i="4" s="1"/>
  <c r="E26" i="4"/>
  <c r="J7" i="4"/>
  <c r="J6" i="4"/>
  <c r="J8" i="4"/>
  <c r="J3" i="12" l="1"/>
  <c r="L3" i="12" s="1"/>
  <c r="J18" i="12"/>
  <c r="J18" i="8"/>
  <c r="J17" i="9"/>
  <c r="J18" i="10"/>
  <c r="L3" i="6"/>
  <c r="J17" i="6"/>
  <c r="F30" i="5"/>
  <c r="J6" i="5"/>
  <c r="J10" i="5" s="1"/>
  <c r="F7" i="5"/>
  <c r="J17" i="5"/>
  <c r="E14" i="5"/>
  <c r="F14" i="5" s="1"/>
  <c r="A19" i="4"/>
  <c r="A18" i="4"/>
  <c r="P17" i="2"/>
  <c r="O17" i="2"/>
  <c r="O19" i="4"/>
  <c r="F26" i="4"/>
  <c r="F25" i="4"/>
  <c r="F27" i="2"/>
  <c r="F24" i="2"/>
  <c r="E21" i="2"/>
  <c r="F21" i="2" s="1"/>
  <c r="F20" i="2"/>
  <c r="F19" i="2"/>
  <c r="F18" i="2"/>
  <c r="F17" i="2"/>
  <c r="E14" i="2"/>
  <c r="F13" i="2"/>
  <c r="F12" i="2"/>
  <c r="F11" i="2"/>
  <c r="F10" i="2"/>
  <c r="F9" i="2"/>
  <c r="F8" i="2"/>
  <c r="E7" i="2"/>
  <c r="B7" i="2"/>
  <c r="A7" i="2" s="1"/>
  <c r="J13" i="2" s="1"/>
  <c r="E21" i="4"/>
  <c r="F21" i="4" s="1"/>
  <c r="E27" i="4"/>
  <c r="F27" i="4" s="1"/>
  <c r="A30" i="4"/>
  <c r="F24" i="4"/>
  <c r="A29" i="4"/>
  <c r="A28" i="4"/>
  <c r="A27" i="4"/>
  <c r="A25" i="4"/>
  <c r="A24" i="4"/>
  <c r="F20" i="4"/>
  <c r="F19" i="4"/>
  <c r="F18" i="4"/>
  <c r="F17" i="4"/>
  <c r="F14" i="4"/>
  <c r="A17" i="4"/>
  <c r="A16" i="4"/>
  <c r="A14" i="4"/>
  <c r="F13" i="4"/>
  <c r="A13" i="4"/>
  <c r="F12" i="4"/>
  <c r="A12" i="4"/>
  <c r="F11" i="4"/>
  <c r="A11" i="4"/>
  <c r="F10" i="4"/>
  <c r="A10" i="4"/>
  <c r="F9" i="4"/>
  <c r="A9" i="4"/>
  <c r="F8" i="4"/>
  <c r="A8" i="4"/>
  <c r="E7" i="4"/>
  <c r="B7" i="4"/>
  <c r="A7" i="4" s="1"/>
  <c r="A27" i="3"/>
  <c r="F25" i="3"/>
  <c r="J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E16" i="3"/>
  <c r="F16" i="3" s="1"/>
  <c r="E15" i="3"/>
  <c r="E14" i="3"/>
  <c r="J6" i="3" s="1"/>
  <c r="F15" i="3"/>
  <c r="F14" i="3"/>
  <c r="B7" i="3"/>
  <c r="A7" i="3" s="1"/>
  <c r="J14" i="3" l="1"/>
  <c r="E15" i="2"/>
  <c r="F15" i="2" s="1"/>
  <c r="F14" i="2"/>
  <c r="J6" i="2"/>
  <c r="J15" i="3"/>
  <c r="J3" i="5"/>
  <c r="L3" i="5" s="1"/>
  <c r="H3" i="2"/>
  <c r="J13" i="4"/>
  <c r="J17" i="4" s="1"/>
  <c r="J14" i="4"/>
  <c r="F23" i="2"/>
  <c r="J17" i="2"/>
  <c r="F7" i="2"/>
  <c r="J15" i="4"/>
  <c r="H3" i="4"/>
  <c r="E28" i="2"/>
  <c r="E29" i="4"/>
  <c r="F29" i="4" s="1"/>
  <c r="E15" i="4"/>
  <c r="F7" i="4"/>
  <c r="F23" i="4"/>
  <c r="J13" i="3"/>
  <c r="F21" i="3"/>
  <c r="F26" i="3"/>
  <c r="F13" i="3"/>
  <c r="J8" i="3"/>
  <c r="F27" i="3"/>
  <c r="F12" i="3"/>
  <c r="F24" i="3"/>
  <c r="F9" i="3"/>
  <c r="F8" i="3"/>
  <c r="F23" i="3"/>
  <c r="F11" i="3"/>
  <c r="F10" i="3"/>
  <c r="F20" i="3"/>
  <c r="F19" i="3"/>
  <c r="F18" i="3"/>
  <c r="E7" i="3"/>
  <c r="E29" i="3" s="1"/>
  <c r="C7" i="1"/>
  <c r="C22" i="1" s="1"/>
  <c r="H3" i="1" s="1"/>
  <c r="J3" i="1" s="1"/>
  <c r="D17" i="1"/>
  <c r="F3" i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E30" i="2" l="1"/>
  <c r="J10" i="2" s="1"/>
  <c r="P19" i="4"/>
  <c r="F28" i="2"/>
  <c r="F15" i="4"/>
  <c r="J3" i="4"/>
  <c r="L3" i="4" s="1"/>
  <c r="J17" i="3"/>
  <c r="F7" i="3"/>
  <c r="H3" i="3"/>
  <c r="J3" i="3"/>
  <c r="F30" i="2" l="1"/>
  <c r="J3" i="2"/>
  <c r="L3" i="2" s="1"/>
  <c r="J10" i="4"/>
  <c r="J10" i="3"/>
  <c r="L3" i="3"/>
</calcChain>
</file>

<file path=xl/sharedStrings.xml><?xml version="1.0" encoding="utf-8"?>
<sst xmlns="http://schemas.openxmlformats.org/spreadsheetml/2006/main" count="1982" uniqueCount="173">
  <si>
    <t>%</t>
  </si>
  <si>
    <t>A pagar</t>
  </si>
  <si>
    <t>Descrição</t>
  </si>
  <si>
    <t>Data</t>
  </si>
  <si>
    <t>Valor</t>
  </si>
  <si>
    <t>Porcentagem</t>
  </si>
  <si>
    <t>Investimento</t>
  </si>
  <si>
    <t>Telefone</t>
  </si>
  <si>
    <t>Casa</t>
  </si>
  <si>
    <t>Água</t>
  </si>
  <si>
    <t>Cartão</t>
  </si>
  <si>
    <t>Semana</t>
  </si>
  <si>
    <t>Receita</t>
  </si>
  <si>
    <t>Despesa B</t>
  </si>
  <si>
    <t>Despesa C</t>
  </si>
  <si>
    <t>Luz</t>
  </si>
  <si>
    <t>Despesa D</t>
  </si>
  <si>
    <t>Despesa E</t>
  </si>
  <si>
    <t>Despesa F</t>
  </si>
  <si>
    <t>Despesa G</t>
  </si>
  <si>
    <t>Total Gasto no mês:</t>
  </si>
  <si>
    <t>Saldo Final 20/01</t>
  </si>
  <si>
    <t>Saldo em 20/02</t>
  </si>
  <si>
    <t>Dízimo</t>
  </si>
  <si>
    <t>Dia do Pagamento</t>
  </si>
  <si>
    <t>Próximo Pagamento</t>
  </si>
  <si>
    <t>Curso Gabriel</t>
  </si>
  <si>
    <t>Curso Matheus</t>
  </si>
  <si>
    <t>Líquido</t>
  </si>
  <si>
    <t>Receita Bruta</t>
  </si>
  <si>
    <t>Contr. Sindical</t>
  </si>
  <si>
    <t>Inglês</t>
  </si>
  <si>
    <t>Espanhol</t>
  </si>
  <si>
    <t>ok</t>
  </si>
  <si>
    <t>Cabelo</t>
  </si>
  <si>
    <t>Sacar</t>
  </si>
  <si>
    <t>Celular Claro</t>
  </si>
  <si>
    <t>Recarga TIM</t>
  </si>
  <si>
    <t>Fixas</t>
  </si>
  <si>
    <t>Oferta Missões</t>
  </si>
  <si>
    <t>Variáveis</t>
  </si>
  <si>
    <t>Investimentos</t>
  </si>
  <si>
    <t>Poupança</t>
  </si>
  <si>
    <t>Pendências</t>
  </si>
  <si>
    <t>Varíaveis</t>
  </si>
  <si>
    <t>Total</t>
  </si>
  <si>
    <t>Saldo C/C</t>
  </si>
  <si>
    <t>Saldo em 28/02</t>
  </si>
  <si>
    <t>Saldo em 31/03</t>
  </si>
  <si>
    <t>Sacável</t>
  </si>
  <si>
    <t>Sim</t>
  </si>
  <si>
    <t>R$</t>
  </si>
  <si>
    <t>concatena</t>
  </si>
  <si>
    <t>Jornal</t>
  </si>
  <si>
    <t>Ônibus Acampa</t>
  </si>
  <si>
    <t>Saldo em 30/04</t>
  </si>
  <si>
    <t>Saldo em 31/05</t>
  </si>
  <si>
    <t>Sub-total</t>
  </si>
  <si>
    <t>Viagem Fran</t>
  </si>
  <si>
    <t>Piso</t>
  </si>
  <si>
    <t>Teto</t>
  </si>
  <si>
    <t>Passagens</t>
  </si>
  <si>
    <t>Márcio</t>
  </si>
  <si>
    <t>Paula</t>
  </si>
  <si>
    <t>Fernando</t>
  </si>
  <si>
    <t>Helena</t>
  </si>
  <si>
    <t>Deve</t>
  </si>
  <si>
    <t>Pagou</t>
  </si>
  <si>
    <t>Perfumes</t>
  </si>
  <si>
    <t>Dividendos</t>
  </si>
  <si>
    <t>Cell Claro</t>
  </si>
  <si>
    <t>Sobra</t>
  </si>
  <si>
    <t>Total Gastos</t>
  </si>
  <si>
    <t>Livros</t>
  </si>
  <si>
    <t>Seguro Carro</t>
  </si>
  <si>
    <t>Visto Americano</t>
  </si>
  <si>
    <t>Video Game</t>
  </si>
  <si>
    <t>Cartão (Master)</t>
  </si>
  <si>
    <t>Cartão (Visa)</t>
  </si>
  <si>
    <t>Saldo em 30/06</t>
  </si>
  <si>
    <t>PLR</t>
  </si>
  <si>
    <t>Multa</t>
  </si>
  <si>
    <t>Iris</t>
  </si>
  <si>
    <t>Batida Carro</t>
  </si>
  <si>
    <t>Acampa</t>
  </si>
  <si>
    <t>Celular Tim</t>
  </si>
  <si>
    <t>Ações</t>
  </si>
  <si>
    <t>Livres</t>
  </si>
  <si>
    <t>Quantidade</t>
  </si>
  <si>
    <t>Financiadas</t>
  </si>
  <si>
    <t>Ipod Matheus</t>
  </si>
  <si>
    <t>Documentos</t>
  </si>
  <si>
    <t>Transporte</t>
  </si>
  <si>
    <t>Almoços</t>
  </si>
  <si>
    <t>Acampa Geral</t>
  </si>
  <si>
    <t>Presente Helena</t>
  </si>
  <si>
    <t>Remédios</t>
  </si>
  <si>
    <t>Pen Drive</t>
  </si>
  <si>
    <t>Férias</t>
  </si>
  <si>
    <t>Pacote</t>
  </si>
  <si>
    <t>A vista</t>
  </si>
  <si>
    <t>Prazo (7x)</t>
  </si>
  <si>
    <t>U$D</t>
  </si>
  <si>
    <t>-</t>
  </si>
  <si>
    <t>Translados</t>
  </si>
  <si>
    <t>Gastos lá</t>
  </si>
  <si>
    <t>Total Estimado</t>
  </si>
  <si>
    <t>Cartão Santader</t>
  </si>
  <si>
    <t>Saldo em 31/12</t>
  </si>
  <si>
    <t>Saldo em 30/01</t>
  </si>
  <si>
    <t>Viagem</t>
  </si>
  <si>
    <t>Passagem</t>
  </si>
  <si>
    <t>Curso</t>
  </si>
  <si>
    <t>Matrícula</t>
  </si>
  <si>
    <t>Compra NZD</t>
  </si>
  <si>
    <t>C/C</t>
  </si>
  <si>
    <t>$$ para Viajar</t>
  </si>
  <si>
    <t>Dolár NZ</t>
  </si>
  <si>
    <t>Espécie</t>
  </si>
  <si>
    <t>NZD</t>
  </si>
  <si>
    <t>Negativo</t>
  </si>
  <si>
    <t>Juros Cartão (V)</t>
  </si>
  <si>
    <t>Juros Cartão (M)</t>
  </si>
  <si>
    <t>Empréstimo</t>
  </si>
  <si>
    <t>Perfume Iris</t>
  </si>
  <si>
    <t>Empréstimo Vó</t>
  </si>
  <si>
    <t>Casamento</t>
  </si>
  <si>
    <t>Seguro</t>
  </si>
  <si>
    <t>Salário Bruto</t>
  </si>
  <si>
    <t>Salário Líquido</t>
  </si>
  <si>
    <t>Jornal (cartão)</t>
  </si>
  <si>
    <t>Mês</t>
  </si>
  <si>
    <t>Tipo Despesa</t>
  </si>
  <si>
    <t>Dados</t>
  </si>
  <si>
    <t>Rótulos de Linha</t>
  </si>
  <si>
    <t>Total geral</t>
  </si>
  <si>
    <t>Rótulos de Coluna</t>
  </si>
  <si>
    <t>Ano</t>
  </si>
  <si>
    <t>(vazio)</t>
  </si>
  <si>
    <t>Jan/12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</si>
  <si>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</si>
  <si>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</si>
  <si>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</si>
  <si>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</si>
  <si>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</si>
  <si>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</si>
  <si>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</si>
  <si>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</si>
  <si>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</si>
  <si>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</si>
  <si>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</si>
  <si>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Crédito</t>
  </si>
  <si>
    <t>Despesa</t>
  </si>
  <si>
    <t>Classificação</t>
  </si>
  <si>
    <t xml:space="preserve"> </t>
  </si>
  <si>
    <t>Valor (-)</t>
  </si>
  <si>
    <t>Soma de Valor (-)</t>
  </si>
  <si>
    <t>Soma de R$ 4.000,00</t>
  </si>
  <si>
    <t>Apartamento</t>
  </si>
  <si>
    <t>Total Geral</t>
  </si>
  <si>
    <t>Despesa 1</t>
  </si>
  <si>
    <t>Despesa 2</t>
  </si>
  <si>
    <t>Despesa 3</t>
  </si>
  <si>
    <t>Despesa 4</t>
  </si>
  <si>
    <t>Despesa 5</t>
  </si>
  <si>
    <t>&lt; fica vermelho se valor for 20% menor do que a renda bruta</t>
  </si>
  <si>
    <t>&lt; fica vermelho se valor for 15% maior do que a renda bruta</t>
  </si>
  <si>
    <t>&lt; fica verde quando está ok, ou pago</t>
  </si>
  <si>
    <t>Receita 1</t>
  </si>
  <si>
    <t>Receita 2</t>
  </si>
  <si>
    <t>Receita 3</t>
  </si>
  <si>
    <t>MEU ACOMPANHAMENTO MENSAL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</si>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</sst>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$ &quot;#,##0.00_);[Red]\(&quot;R$ &quot;#,##0.00\)"/>
    <numFmt numFmtId="165" formatCode="_(* #,##0.00_);_(* \(#,##0.00\);_(* &quot;-&quot;??_);_(@_)"/>
    <numFmt numFmtId="166" formatCode="&quot;R$ &quot;#,##0.00"/>
    <numFmt numFmtId="167" formatCode="&quot;R$ &quot;#,##0.000"/>
    <numFmt numFmtId="168" formatCode="[$$-409]#,##0.00"/>
    <numFmt numFmtId="169" formatCode="[$-416]mmm\-yy;@"/>
    <numFmt numFmtId="170" formatCode="&quot;R$ &quot;#,##0"/>
  </numFmts>
  <fonts count="2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B5C6CF"/>
        <bgColor indexed="64"/>
      </patternFill>
    </fill>
    <fill>
      <patternFill patternType="solid">
        <fgColor rgb="FF4460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1D2441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2">
    <xf numFmtId="0" fontId="0" fillId="0" borderId="0" xfId="0"/>
    <xf numFmtId="0" fontId="0" fillId="24" borderId="0" xfId="0" applyFill="1"/>
    <xf numFmtId="166" fontId="0" fillId="24" borderId="0" xfId="0" applyNumberFormat="1" applyFill="1" applyAlignment="1">
      <alignment horizontal="left"/>
    </xf>
    <xf numFmtId="0" fontId="0" fillId="24" borderId="0" xfId="0" applyFill="1" applyAlignment="1">
      <alignment horizontal="center"/>
    </xf>
    <xf numFmtId="166" fontId="0" fillId="24" borderId="0" xfId="0" applyNumberFormat="1" applyFill="1"/>
    <xf numFmtId="166" fontId="0" fillId="24" borderId="0" xfId="0" applyNumberFormat="1" applyFill="1" applyAlignment="1">
      <alignment horizontal="center"/>
    </xf>
    <xf numFmtId="0" fontId="20" fillId="24" borderId="10" xfId="0" applyFont="1" applyFill="1" applyBorder="1"/>
    <xf numFmtId="166" fontId="20" fillId="24" borderId="10" xfId="0" applyNumberFormat="1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/>
    </xf>
    <xf numFmtId="16" fontId="0" fillId="24" borderId="10" xfId="0" applyNumberFormat="1" applyFill="1" applyBorder="1"/>
    <xf numFmtId="166" fontId="0" fillId="24" borderId="10" xfId="0" applyNumberFormat="1" applyFill="1" applyBorder="1" applyAlignment="1">
      <alignment horizontal="left"/>
    </xf>
    <xf numFmtId="0" fontId="20" fillId="24" borderId="11" xfId="0" applyFont="1" applyFill="1" applyBorder="1"/>
    <xf numFmtId="0" fontId="20" fillId="24" borderId="12" xfId="0" applyFont="1" applyFill="1" applyBorder="1" applyAlignment="1">
      <alignment horizontal="center"/>
    </xf>
    <xf numFmtId="0" fontId="0" fillId="24" borderId="11" xfId="0" applyFill="1" applyBorder="1"/>
    <xf numFmtId="2" fontId="0" fillId="24" borderId="12" xfId="0" applyNumberForma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66" fontId="0" fillId="24" borderId="10" xfId="0" applyNumberFormat="1" applyFill="1" applyBorder="1"/>
    <xf numFmtId="16" fontId="20" fillId="24" borderId="10" xfId="0" applyNumberFormat="1" applyFont="1" applyFill="1" applyBorder="1" applyAlignment="1">
      <alignment horizontal="center"/>
    </xf>
    <xf numFmtId="166" fontId="20" fillId="24" borderId="14" xfId="0" applyNumberFormat="1" applyFont="1" applyFill="1" applyBorder="1" applyAlignment="1">
      <alignment horizontal="left"/>
    </xf>
    <xf numFmtId="166" fontId="20" fillId="24" borderId="10" xfId="0" applyNumberFormat="1" applyFont="1" applyFill="1" applyBorder="1"/>
    <xf numFmtId="166" fontId="20" fillId="24" borderId="0" xfId="0" applyNumberFormat="1" applyFont="1" applyFill="1"/>
    <xf numFmtId="2" fontId="20" fillId="24" borderId="10" xfId="0" applyNumberFormat="1" applyFont="1" applyFill="1" applyBorder="1"/>
    <xf numFmtId="16" fontId="0" fillId="24" borderId="20" xfId="0" applyNumberFormat="1" applyFill="1" applyBorder="1"/>
    <xf numFmtId="16" fontId="21" fillId="27" borderId="10" xfId="0" applyNumberFormat="1" applyFont="1" applyFill="1" applyBorder="1" applyAlignment="1">
      <alignment horizontal="center"/>
    </xf>
    <xf numFmtId="16" fontId="21" fillId="28" borderId="10" xfId="0" applyNumberFormat="1" applyFont="1" applyFill="1" applyBorder="1" applyAlignment="1">
      <alignment horizontal="center"/>
    </xf>
    <xf numFmtId="0" fontId="21" fillId="29" borderId="10" xfId="0" applyFont="1" applyFill="1" applyBorder="1"/>
    <xf numFmtId="0" fontId="21" fillId="28" borderId="10" xfId="0" applyFont="1" applyFill="1" applyBorder="1"/>
    <xf numFmtId="0" fontId="20" fillId="24" borderId="21" xfId="0" applyFont="1" applyFill="1" applyBorder="1"/>
    <xf numFmtId="166" fontId="20" fillId="24" borderId="23" xfId="0" applyNumberFormat="1" applyFont="1" applyFill="1" applyBorder="1" applyAlignment="1">
      <alignment horizontal="left"/>
    </xf>
    <xf numFmtId="0" fontId="20" fillId="24" borderId="22" xfId="0" applyFont="1" applyFill="1" applyBorder="1" applyAlignment="1">
      <alignment horizontal="center"/>
    </xf>
    <xf numFmtId="16" fontId="0" fillId="24" borderId="21" xfId="0" applyNumberFormat="1" applyFill="1" applyBorder="1"/>
    <xf numFmtId="166" fontId="0" fillId="24" borderId="23" xfId="0" applyNumberFormat="1" applyFill="1" applyBorder="1" applyAlignment="1">
      <alignment horizontal="left"/>
    </xf>
    <xf numFmtId="2" fontId="0" fillId="24" borderId="22" xfId="0" applyNumberFormat="1" applyFill="1" applyBorder="1" applyAlignment="1">
      <alignment horizontal="center"/>
    </xf>
    <xf numFmtId="16" fontId="0" fillId="24" borderId="23" xfId="0" applyNumberFormat="1" applyFill="1" applyBorder="1"/>
    <xf numFmtId="0" fontId="0" fillId="24" borderId="24" xfId="0" applyFill="1" applyBorder="1"/>
    <xf numFmtId="0" fontId="22" fillId="24" borderId="25" xfId="0" applyFont="1" applyFill="1" applyBorder="1"/>
    <xf numFmtId="0" fontId="22" fillId="24" borderId="27" xfId="0" applyFont="1" applyFill="1" applyBorder="1"/>
    <xf numFmtId="165" fontId="0" fillId="24" borderId="26" xfId="34" applyFont="1" applyFill="1" applyBorder="1"/>
    <xf numFmtId="165" fontId="0" fillId="24" borderId="28" xfId="34" applyFont="1" applyFill="1" applyBorder="1"/>
    <xf numFmtId="166" fontId="22" fillId="24" borderId="0" xfId="0" applyNumberFormat="1" applyFont="1" applyFill="1" applyAlignment="1">
      <alignment horizontal="left"/>
    </xf>
    <xf numFmtId="16" fontId="0" fillId="24" borderId="0" xfId="0" applyNumberFormat="1" applyFill="1"/>
    <xf numFmtId="0" fontId="22" fillId="24" borderId="0" xfId="0" applyFont="1" applyFill="1"/>
    <xf numFmtId="0" fontId="20" fillId="25" borderId="15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/>
    </xf>
    <xf numFmtId="166" fontId="20" fillId="25" borderId="16" xfId="0" applyNumberFormat="1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1" fillId="30" borderId="29" xfId="0" applyFont="1" applyFill="1" applyBorder="1" applyAlignment="1">
      <alignment horizontal="center"/>
    </xf>
    <xf numFmtId="0" fontId="21" fillId="26" borderId="11" xfId="0" applyFont="1" applyFill="1" applyBorder="1"/>
    <xf numFmtId="16" fontId="22" fillId="24" borderId="25" xfId="0" applyNumberFormat="1" applyFont="1" applyFill="1" applyBorder="1" applyAlignment="1">
      <alignment horizontal="left"/>
    </xf>
    <xf numFmtId="165" fontId="22" fillId="24" borderId="26" xfId="34" applyFont="1" applyFill="1" applyBorder="1" applyAlignment="1">
      <alignment horizontal="right"/>
    </xf>
    <xf numFmtId="165" fontId="0" fillId="24" borderId="0" xfId="0" applyNumberFormat="1" applyFill="1"/>
    <xf numFmtId="166" fontId="1" fillId="24" borderId="0" xfId="0" applyNumberFormat="1" applyFont="1" applyFill="1" applyAlignment="1">
      <alignment horizontal="left"/>
    </xf>
    <xf numFmtId="16" fontId="1" fillId="24" borderId="20" xfId="0" applyNumberFormat="1" applyFont="1" applyFill="1" applyBorder="1"/>
    <xf numFmtId="0" fontId="1" fillId="24" borderId="0" xfId="0" applyFont="1" applyFill="1"/>
    <xf numFmtId="16" fontId="1" fillId="24" borderId="10" xfId="0" applyNumberFormat="1" applyFont="1" applyFill="1" applyBorder="1"/>
    <xf numFmtId="0" fontId="21" fillId="31" borderId="10" xfId="0" applyFont="1" applyFill="1" applyBorder="1"/>
    <xf numFmtId="2" fontId="20" fillId="24" borderId="13" xfId="0" applyNumberFormat="1" applyFont="1" applyFill="1" applyBorder="1" applyAlignment="1">
      <alignment horizontal="center"/>
    </xf>
    <xf numFmtId="4" fontId="0" fillId="24" borderId="0" xfId="0" applyNumberFormat="1" applyFill="1"/>
    <xf numFmtId="0" fontId="1" fillId="24" borderId="25" xfId="0" applyFont="1" applyFill="1" applyBorder="1"/>
    <xf numFmtId="166" fontId="1" fillId="24" borderId="0" xfId="0" applyNumberFormat="1" applyFont="1" applyFill="1" applyBorder="1" applyAlignment="1">
      <alignment horizontal="center"/>
    </xf>
    <xf numFmtId="166" fontId="0" fillId="24" borderId="26" xfId="34" applyNumberFormat="1" applyFont="1" applyFill="1" applyBorder="1" applyAlignment="1">
      <alignment horizontal="center"/>
    </xf>
    <xf numFmtId="166" fontId="22" fillId="24" borderId="0" xfId="0" applyNumberFormat="1" applyFont="1" applyFill="1" applyBorder="1" applyAlignment="1">
      <alignment horizontal="center"/>
    </xf>
    <xf numFmtId="166" fontId="22" fillId="24" borderId="30" xfId="0" applyNumberFormat="1" applyFont="1" applyFill="1" applyBorder="1" applyAlignment="1">
      <alignment horizontal="center"/>
    </xf>
    <xf numFmtId="166" fontId="0" fillId="24" borderId="28" xfId="34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65" fontId="1" fillId="24" borderId="26" xfId="34" applyFont="1" applyFill="1" applyBorder="1" applyAlignment="1">
      <alignment horizontal="center"/>
    </xf>
    <xf numFmtId="166" fontId="0" fillId="24" borderId="26" xfId="34" applyNumberFormat="1" applyFont="1" applyFill="1" applyBorder="1"/>
    <xf numFmtId="0" fontId="21" fillId="31" borderId="11" xfId="0" applyFont="1" applyFill="1" applyBorder="1"/>
    <xf numFmtId="16" fontId="22" fillId="24" borderId="27" xfId="0" applyNumberFormat="1" applyFont="1" applyFill="1" applyBorder="1" applyAlignment="1">
      <alignment horizontal="left"/>
    </xf>
    <xf numFmtId="166" fontId="0" fillId="24" borderId="28" xfId="34" applyNumberFormat="1" applyFont="1" applyFill="1" applyBorder="1"/>
    <xf numFmtId="0" fontId="20" fillId="24" borderId="25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167" fontId="0" fillId="24" borderId="10" xfId="0" applyNumberFormat="1" applyFill="1" applyBorder="1"/>
    <xf numFmtId="164" fontId="0" fillId="24" borderId="10" xfId="0" applyNumberFormat="1" applyFill="1" applyBorder="1"/>
    <xf numFmtId="0" fontId="21" fillId="31" borderId="10" xfId="0" applyFon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0" fontId="21" fillId="30" borderId="31" xfId="0" applyFont="1" applyFill="1" applyBorder="1" applyAlignment="1"/>
    <xf numFmtId="0" fontId="21" fillId="0" borderId="0" xfId="0" applyFont="1" applyFill="1" applyBorder="1" applyAlignment="1"/>
    <xf numFmtId="16" fontId="22" fillId="24" borderId="0" xfId="0" applyNumberFormat="1" applyFont="1" applyFill="1" applyBorder="1" applyAlignment="1">
      <alignment horizontal="left"/>
    </xf>
    <xf numFmtId="166" fontId="0" fillId="24" borderId="0" xfId="34" applyNumberFormat="1" applyFont="1" applyFill="1" applyBorder="1"/>
    <xf numFmtId="168" fontId="0" fillId="24" borderId="0" xfId="0" applyNumberFormat="1" applyFill="1"/>
    <xf numFmtId="166" fontId="0" fillId="24" borderId="0" xfId="0" applyNumberFormat="1" applyFill="1" applyBorder="1"/>
    <xf numFmtId="0" fontId="1" fillId="24" borderId="0" xfId="0" applyFont="1" applyFill="1" applyAlignment="1">
      <alignment horizontal="right"/>
    </xf>
    <xf numFmtId="165" fontId="1" fillId="24" borderId="25" xfId="0" applyNumberFormat="1" applyFont="1" applyFill="1" applyBorder="1"/>
    <xf numFmtId="165" fontId="0" fillId="24" borderId="26" xfId="0" applyNumberFormat="1" applyFill="1" applyBorder="1"/>
    <xf numFmtId="165" fontId="0" fillId="24" borderId="25" xfId="0" applyNumberFormat="1" applyFill="1" applyBorder="1"/>
    <xf numFmtId="0" fontId="0" fillId="24" borderId="26" xfId="0" applyFill="1" applyBorder="1"/>
    <xf numFmtId="0" fontId="0" fillId="24" borderId="25" xfId="0" applyFill="1" applyBorder="1"/>
    <xf numFmtId="0" fontId="20" fillId="24" borderId="27" xfId="0" applyFont="1" applyFill="1" applyBorder="1"/>
    <xf numFmtId="165" fontId="20" fillId="24" borderId="28" xfId="0" applyNumberFormat="1" applyFont="1" applyFill="1" applyBorder="1"/>
    <xf numFmtId="0" fontId="0" fillId="24" borderId="0" xfId="0" applyFill="1" applyAlignment="1">
      <alignment horizontal="right"/>
    </xf>
    <xf numFmtId="0" fontId="20" fillId="24" borderId="0" xfId="0" applyFont="1" applyFill="1" applyBorder="1" applyAlignment="1">
      <alignment horizontal="center"/>
    </xf>
    <xf numFmtId="166" fontId="20" fillId="24" borderId="0" xfId="0" applyNumberFormat="1" applyFont="1" applyFill="1" applyBorder="1" applyAlignment="1">
      <alignment horizontal="left"/>
    </xf>
    <xf numFmtId="2" fontId="20" fillId="24" borderId="0" xfId="0" applyNumberFormat="1" applyFont="1" applyFill="1" applyBorder="1" applyAlignment="1">
      <alignment horizontal="center"/>
    </xf>
    <xf numFmtId="166" fontId="0" fillId="0" borderId="0" xfId="0" applyNumberFormat="1"/>
    <xf numFmtId="0" fontId="1" fillId="0" borderId="0" xfId="0" applyFont="1"/>
    <xf numFmtId="166" fontId="0" fillId="24" borderId="12" xfId="0" applyNumberFormat="1" applyFill="1" applyBorder="1" applyAlignment="1">
      <alignment horizontal="left"/>
    </xf>
    <xf numFmtId="166" fontId="0" fillId="24" borderId="13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6" fontId="20" fillId="25" borderId="10" xfId="0" applyNumberFormat="1" applyFont="1" applyFill="1" applyBorder="1" applyAlignment="1">
      <alignment horizontal="center"/>
    </xf>
    <xf numFmtId="0" fontId="21" fillId="30" borderId="22" xfId="0" applyFont="1" applyFill="1" applyBorder="1" applyAlignment="1">
      <alignment horizontal="center"/>
    </xf>
    <xf numFmtId="169" fontId="21" fillId="29" borderId="11" xfId="0" applyNumberFormat="1" applyFont="1" applyFill="1" applyBorder="1"/>
    <xf numFmtId="169" fontId="21" fillId="29" borderId="33" xfId="0" applyNumberFormat="1" applyFont="1" applyFill="1" applyBorder="1"/>
    <xf numFmtId="0" fontId="21" fillId="30" borderId="32" xfId="0" applyFont="1" applyFill="1" applyBorder="1" applyAlignment="1">
      <alignment horizontal="center"/>
    </xf>
    <xf numFmtId="0" fontId="21" fillId="26" borderId="33" xfId="0" applyFont="1" applyFill="1" applyBorder="1"/>
    <xf numFmtId="0" fontId="0" fillId="0" borderId="0" xfId="0" pivotButton="1"/>
    <xf numFmtId="0" fontId="0" fillId="0" borderId="0" xfId="0" applyAlignment="1">
      <alignment horizontal="left" indent="1"/>
    </xf>
    <xf numFmtId="0" fontId="20" fillId="25" borderId="34" xfId="0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166" fontId="20" fillId="25" borderId="28" xfId="0" applyNumberFormat="1" applyFont="1" applyFill="1" applyBorder="1" applyAlignment="1">
      <alignment horizontal="center"/>
    </xf>
    <xf numFmtId="166" fontId="20" fillId="25" borderId="35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170" fontId="0" fillId="0" borderId="0" xfId="0" applyNumberFormat="1"/>
    <xf numFmtId="170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0" fontId="20" fillId="25" borderId="36" xfId="0" applyFont="1" applyFill="1" applyBorder="1" applyAlignment="1">
      <alignment horizontal="center"/>
    </xf>
    <xf numFmtId="0" fontId="20" fillId="25" borderId="28" xfId="0" applyFont="1" applyFill="1" applyBorder="1" applyAlignment="1">
      <alignment horizontal="center"/>
    </xf>
    <xf numFmtId="169" fontId="21" fillId="29" borderId="23" xfId="0" applyNumberFormat="1" applyFont="1" applyFill="1" applyBorder="1"/>
    <xf numFmtId="169" fontId="21" fillId="29" borderId="24" xfId="0" applyNumberFormat="1" applyFont="1" applyFill="1" applyBorder="1"/>
    <xf numFmtId="169" fontId="21" fillId="29" borderId="18" xfId="0" applyNumberFormat="1" applyFont="1" applyFill="1" applyBorder="1"/>
    <xf numFmtId="166" fontId="20" fillId="24" borderId="0" xfId="0" applyNumberFormat="1" applyFont="1" applyFill="1" applyBorder="1"/>
    <xf numFmtId="0" fontId="20" fillId="24" borderId="21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3" fillId="24" borderId="0" xfId="0" applyFont="1" applyFill="1" applyAlignment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8"/>
    <cellStyle name="Bom" xfId="27" builtinId="26" customBuiltin="1"/>
    <cellStyle name="Calculation" xfId="19"/>
    <cellStyle name="Célula de Verificação" xfId="20" builtinId="23" customBuiltin="1"/>
    <cellStyle name="Célula Vinculada" xfId="30" builtinId="24" customBuiltin="1"/>
    <cellStyle name="Entrada" xfId="29" builtinId="20" customBuiltin="1"/>
    <cellStyle name="Explanatory Text" xfId="35"/>
    <cellStyle name="Heading 1" xfId="37"/>
    <cellStyle name="Heading 2" xfId="38"/>
    <cellStyle name="Heading 3" xfId="39"/>
    <cellStyle name="Heading 4" xfId="40"/>
    <cellStyle name="Neutra" xfId="31" builtinId="28" customBuiltin="1"/>
    <cellStyle name="Normal" xfId="0" builtinId="0"/>
    <cellStyle name="Nota" xfId="32" builtinId="10" customBuiltin="1"/>
    <cellStyle name="Output" xfId="33"/>
    <cellStyle name="Texto de Aviso" xfId="42" builtinId="11" customBuiltin="1"/>
    <cellStyle name="Title" xfId="36"/>
    <cellStyle name="Total" xfId="41" builtinId="25" customBuiltin="1"/>
    <cellStyle name="Vírgula" xfId="34" builtinId="3"/>
  </cellStyles>
  <dxfs count="371"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  <name val="Cambria"/>
        <scheme val="none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lor theme="0"/>
        <name val="Cambria"/>
        <scheme val="none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numFmt numFmtId="170" formatCode="&quot;R$ &quot;#,##0"/>
    </dxf>
    <dxf>
      <font>
        <b val="0"/>
      </font>
    </dxf>
    <dxf>
      <font>
        <b val="0"/>
      </font>
    </dxf>
    <dxf>
      <font>
        <b val="0"/>
      </font>
    </dxf>
    <dxf>
      <alignment horizontal="right" readingOrder="0"/>
    </dxf>
    <dxf>
      <alignment horizontal="right" readingOrder="0"/>
    </dxf>
    <dxf>
      <numFmt numFmtId="170" formatCode="&quot;R$ &quot;#,##0"/>
    </dxf>
    <dxf>
      <numFmt numFmtId="170" formatCode="&quot;R$ &quot;#,##0"/>
    </dxf>
    <dxf>
      <numFmt numFmtId="170" formatCode="&quot;R$ &quot;#,##0"/>
    </dxf>
    <dxf>
      <numFmt numFmtId="170" formatCode="&quot;R$ &quot;#,##0"/>
    </dxf>
  </dxfs>
  <tableStyles count="0" defaultTableStyle="TableStyleMedium9" defaultPivotStyle="PivotStyleLight16"/>
  <colors>
    <mruColors>
      <color rgb="FFB5C6CF"/>
      <color rgb="FF1D2441"/>
      <color rgb="FF4460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[Despesas-Mensais - MODELO.xlsx]Resumo!Tabela dinâmica3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circle"/>
          <c:size val="5"/>
        </c:marker>
      </c:pivotFmt>
      <c:pivotFmt>
        <c:idx val="16"/>
        <c:marker>
          <c:symbol val="circle"/>
          <c:size val="5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Resumo!$Z$2:$Z$3</c:f>
              <c:strCache>
                <c:ptCount val="1"/>
                <c:pt idx="0">
                  <c:v>Cartão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Resumo!$Z$4:$Z$17</c:f>
              <c:numCache>
                <c:formatCode>"R$ "#,##0</c:formatCode>
                <c:ptCount val="13"/>
                <c:pt idx="0">
                  <c:v>2091.5300000000002</c:v>
                </c:pt>
                <c:pt idx="1">
                  <c:v>1696.09</c:v>
                </c:pt>
                <c:pt idx="2">
                  <c:v>9406.59</c:v>
                </c:pt>
                <c:pt idx="3">
                  <c:v>1249.08</c:v>
                </c:pt>
                <c:pt idx="4">
                  <c:v>1025</c:v>
                </c:pt>
                <c:pt idx="5">
                  <c:v>900</c:v>
                </c:pt>
                <c:pt idx="6">
                  <c:v>1400.22</c:v>
                </c:pt>
                <c:pt idx="7">
                  <c:v>755</c:v>
                </c:pt>
                <c:pt idx="8">
                  <c:v>755</c:v>
                </c:pt>
                <c:pt idx="9">
                  <c:v>755</c:v>
                </c:pt>
                <c:pt idx="10">
                  <c:v>755</c:v>
                </c:pt>
                <c:pt idx="11">
                  <c:v>59.9</c:v>
                </c:pt>
              </c:numCache>
            </c:numRef>
          </c:val>
        </c:ser>
        <c:ser>
          <c:idx val="1"/>
          <c:order val="1"/>
          <c:tx>
            <c:strRef>
              <c:f>Resumo!$AA$2:$AA$3</c:f>
              <c:strCache>
                <c:ptCount val="1"/>
                <c:pt idx="0">
                  <c:v>Empréstimo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Resumo!$AA$4:$AA$17</c:f>
              <c:numCache>
                <c:formatCode>"R$ "#,##0</c:formatCode>
                <c:ptCount val="13"/>
                <c:pt idx="2">
                  <c:v>10000</c:v>
                </c:pt>
                <c:pt idx="3">
                  <c:v>6460</c:v>
                </c:pt>
                <c:pt idx="4">
                  <c:v>1105.8</c:v>
                </c:pt>
                <c:pt idx="5">
                  <c:v>1110</c:v>
                </c:pt>
                <c:pt idx="6">
                  <c:v>1023.75</c:v>
                </c:pt>
                <c:pt idx="7">
                  <c:v>991.05</c:v>
                </c:pt>
              </c:numCache>
            </c:numRef>
          </c:val>
        </c:ser>
        <c:ser>
          <c:idx val="2"/>
          <c:order val="2"/>
          <c:tx>
            <c:strRef>
              <c:f>Resumo!$AB$2:$AB$3</c:f>
              <c:strCache>
                <c:ptCount val="1"/>
                <c:pt idx="0">
                  <c:v>Fixas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Resumo!$AB$4:$AB$17</c:f>
              <c:numCache>
                <c:formatCode>"R$ "#,##0</c:formatCode>
                <c:ptCount val="13"/>
                <c:pt idx="0">
                  <c:v>930</c:v>
                </c:pt>
                <c:pt idx="1">
                  <c:v>1322.1599999999999</c:v>
                </c:pt>
                <c:pt idx="2">
                  <c:v>1038.0900000000001</c:v>
                </c:pt>
                <c:pt idx="3">
                  <c:v>2024.779</c:v>
                </c:pt>
                <c:pt idx="4">
                  <c:v>1203.6000000000001</c:v>
                </c:pt>
                <c:pt idx="5">
                  <c:v>789.15000000000009</c:v>
                </c:pt>
                <c:pt idx="6">
                  <c:v>901.96999999999991</c:v>
                </c:pt>
                <c:pt idx="7">
                  <c:v>886.70999999999992</c:v>
                </c:pt>
                <c:pt idx="8">
                  <c:v>787.9</c:v>
                </c:pt>
                <c:pt idx="9">
                  <c:v>826.70999999999992</c:v>
                </c:pt>
                <c:pt idx="10">
                  <c:v>1058.71</c:v>
                </c:pt>
                <c:pt idx="11">
                  <c:v>1026.71</c:v>
                </c:pt>
              </c:numCache>
            </c:numRef>
          </c:val>
        </c:ser>
        <c:ser>
          <c:idx val="3"/>
          <c:order val="3"/>
          <c:tx>
            <c:strRef>
              <c:f>Resumo!$AC$2:$AC$3</c:f>
              <c:strCache>
                <c:ptCount val="1"/>
                <c:pt idx="0">
                  <c:v>Investimentos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Resumo!$AC$4:$AC$17</c:f>
              <c:numCache>
                <c:formatCode>"R$ "#,##0</c:formatCode>
                <c:ptCount val="13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</c:ser>
        <c:ser>
          <c:idx val="4"/>
          <c:order val="4"/>
          <c:tx>
            <c:strRef>
              <c:f>Resumo!$AD$2:$AD$3</c:f>
              <c:strCache>
                <c:ptCount val="1"/>
                <c:pt idx="0">
                  <c:v>Negativo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Resumo!$AD$4:$AD$17</c:f>
              <c:numCache>
                <c:formatCode>"R$ "#,##0</c:formatCode>
                <c:ptCount val="13"/>
                <c:pt idx="1">
                  <c:v>493.18</c:v>
                </c:pt>
                <c:pt idx="2">
                  <c:v>769.58</c:v>
                </c:pt>
              </c:numCache>
            </c:numRef>
          </c:val>
        </c:ser>
        <c:ser>
          <c:idx val="7"/>
          <c:order val="7"/>
          <c:tx>
            <c:strRef>
              <c:f>Resumo!$AG$2:$AG$3</c:f>
              <c:strCache>
                <c:ptCount val="1"/>
                <c:pt idx="0">
                  <c:v>Variáveis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Resumo!$AG$4:$AG$17</c:f>
              <c:numCache>
                <c:formatCode>"R$ 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89</c:v>
                </c:pt>
                <c:pt idx="3">
                  <c:v>975</c:v>
                </c:pt>
                <c:pt idx="4">
                  <c:v>270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Resumo!$AH$2:$AH$3</c:f>
              <c:strCache>
                <c:ptCount val="1"/>
                <c:pt idx="0">
                  <c:v>(vazio)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Resumo!$AH$4:$AH$17</c:f>
              <c:numCache>
                <c:formatCode>"R$ "#,##0</c:formatCode>
                <c:ptCount val="13"/>
              </c:numCache>
            </c:numRef>
          </c:val>
        </c:ser>
        <c:ser>
          <c:idx val="5"/>
          <c:order val="5"/>
          <c:tx>
            <c:strRef>
              <c:f>Resumo!$AE$2:$AE$3</c:f>
              <c:strCache>
                <c:ptCount val="1"/>
                <c:pt idx="0">
                  <c:v>Salário Bruto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Resumo!$AE$4:$AE$17</c:f>
              <c:numCache>
                <c:formatCode>"R$ "#,##0</c:formatCode>
                <c:ptCount val="13"/>
                <c:pt idx="1">
                  <c:v>4000</c:v>
                </c:pt>
                <c:pt idx="2">
                  <c:v>4550</c:v>
                </c:pt>
                <c:pt idx="3">
                  <c:v>14222.09</c:v>
                </c:pt>
                <c:pt idx="4">
                  <c:v>4880</c:v>
                </c:pt>
                <c:pt idx="5">
                  <c:v>4800</c:v>
                </c:pt>
                <c:pt idx="6">
                  <c:v>4880</c:v>
                </c:pt>
                <c:pt idx="7">
                  <c:v>4880</c:v>
                </c:pt>
                <c:pt idx="8">
                  <c:v>4880</c:v>
                </c:pt>
                <c:pt idx="9">
                  <c:v>4880</c:v>
                </c:pt>
                <c:pt idx="10">
                  <c:v>7200</c:v>
                </c:pt>
                <c:pt idx="11">
                  <c:v>6880</c:v>
                </c:pt>
              </c:numCache>
            </c:numRef>
          </c:val>
        </c:ser>
        <c:ser>
          <c:idx val="6"/>
          <c:order val="6"/>
          <c:tx>
            <c:strRef>
              <c:f>Resumo!$AF$2:$AF$3</c:f>
              <c:strCache>
                <c:ptCount val="1"/>
                <c:pt idx="0">
                  <c:v>Salário Líquido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Resumo!$AF$4:$AF$17</c:f>
              <c:numCache>
                <c:formatCode>"R$ "#,##0</c:formatCode>
                <c:ptCount val="13"/>
                <c:pt idx="0">
                  <c:v>3653</c:v>
                </c:pt>
                <c:pt idx="1">
                  <c:v>2642.48</c:v>
                </c:pt>
                <c:pt idx="2">
                  <c:v>2751.15</c:v>
                </c:pt>
                <c:pt idx="3">
                  <c:v>11281.15</c:v>
                </c:pt>
                <c:pt idx="4">
                  <c:v>2900</c:v>
                </c:pt>
                <c:pt idx="5">
                  <c:v>3103.78</c:v>
                </c:pt>
                <c:pt idx="6">
                  <c:v>2900</c:v>
                </c:pt>
                <c:pt idx="7">
                  <c:v>2900</c:v>
                </c:pt>
                <c:pt idx="8">
                  <c:v>2900</c:v>
                </c:pt>
                <c:pt idx="9">
                  <c:v>2900</c:v>
                </c:pt>
                <c:pt idx="10">
                  <c:v>5300</c:v>
                </c:pt>
                <c:pt idx="11">
                  <c:v>3800</c:v>
                </c:pt>
              </c:numCache>
            </c:numRef>
          </c:val>
        </c:ser>
        <c:ser>
          <c:idx val="9"/>
          <c:order val="9"/>
          <c:tx>
            <c:strRef>
              <c:f>Resumo!$AI$2:$AI$3</c:f>
              <c:strCache>
                <c:ptCount val="1"/>
                <c:pt idx="0">
                  <c:v>Casamento</c:v>
                </c:pt>
              </c:strCache>
            </c:strRef>
          </c:tx>
          <c:invertIfNegative val="0"/>
          <c:cat>
            <c:strRef>
              <c:f>Resumo!$Y$4:$Y$17</c:f>
              <c:strCache>
                <c:ptCount val="13"/>
                <c:pt idx="0">
                  <c:v>01/01/2012</c:v>
                </c:pt>
                <c:pt idx="1">
                  <c:v>01/02/2012</c:v>
                </c:pt>
                <c:pt idx="2">
                  <c:v>01/03/2012</c:v>
                </c:pt>
                <c:pt idx="3">
                  <c:v>01/04/2012</c:v>
                </c:pt>
                <c:pt idx="4">
                  <c:v>01/05/2012</c:v>
                </c:pt>
                <c:pt idx="5">
                  <c:v>01/06/2012</c:v>
                </c:pt>
                <c:pt idx="6">
                  <c:v>01/07/2012</c:v>
                </c:pt>
                <c:pt idx="7">
                  <c:v>01/08/2012</c:v>
                </c:pt>
                <c:pt idx="8">
                  <c:v>01/09/2012</c:v>
                </c:pt>
                <c:pt idx="9">
                  <c:v>01/10/2012</c:v>
                </c:pt>
                <c:pt idx="10">
                  <c:v>01/11/2012</c:v>
                </c:pt>
                <c:pt idx="11">
                  <c:v>01/12/2012</c:v>
                </c:pt>
                <c:pt idx="12">
                  <c:v>(vazio)</c:v>
                </c:pt>
              </c:strCache>
            </c:strRef>
          </c:cat>
          <c:val>
            <c:numRef>
              <c:f>Resumo!$AI$4:$AI$17</c:f>
              <c:numCache>
                <c:formatCode>"R$ "#,##0</c:formatCode>
                <c:ptCount val="13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1500</c:v>
                </c:pt>
                <c:pt idx="10">
                  <c:v>3400</c:v>
                </c:pt>
                <c:pt idx="11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83328"/>
        <c:axId val="112493312"/>
      </c:barChart>
      <c:catAx>
        <c:axId val="11248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93312"/>
        <c:crosses val="autoZero"/>
        <c:auto val="1"/>
        <c:lblAlgn val="ctr"/>
        <c:lblOffset val="100"/>
        <c:noMultiLvlLbl val="0"/>
      </c:catAx>
      <c:valAx>
        <c:axId val="112493312"/>
        <c:scaling>
          <c:orientation val="minMax"/>
        </c:scaling>
        <c:delete val="0"/>
        <c:axPos val="l"/>
        <c:majorGridlines/>
        <c:numFmt formatCode="&quot;R$ &quot;#,##0" sourceLinked="1"/>
        <c:majorTickMark val="out"/>
        <c:minorTickMark val="none"/>
        <c:tickLblPos val="nextTo"/>
        <c:crossAx val="11248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95249</xdr:colOff>
      <xdr:row>21</xdr:row>
      <xdr:rowOff>19050</xdr:rowOff>
    </xdr:from>
    <xdr:to>
      <xdr:col>32</xdr:col>
      <xdr:colOff>476249</xdr:colOff>
      <xdr:row>47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 User" refreshedDate="41110.29495127315" createdVersion="3" refreshedVersion="3" minRefreshableVersion="3" recordCount="195">
  <cacheSource type="worksheet">
    <worksheetSource ref="D12:I1044" sheet="Dados"/>
  </cacheSource>
  <cacheFields count="6">
    <cacheField name="jan-12" numFmtId="0">
      <sharedItems containsNonDate="0" containsDate="1" containsString="0" containsBlank="1" minDate="2012-01-01T00:00:00" maxDate="2012-12-02T00:00:00" count="13"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m/>
      </sharedItems>
    </cacheField>
    <cacheField name="Crédito" numFmtId="0">
      <sharedItems containsBlank="1"/>
    </cacheField>
    <cacheField name="Salário Bruto" numFmtId="0">
      <sharedItems containsBlank="1" count="10">
        <s v="Salário Líquido"/>
        <s v="Fixas"/>
        <s v="Investimentos"/>
        <s v="Cartão"/>
        <s v="Variáveis"/>
        <s v="Salário Bruto"/>
        <s v="Negativo"/>
        <s v="Empréstimo"/>
        <s v="Casamento"/>
        <m/>
      </sharedItems>
    </cacheField>
    <cacheField name="Salário Bruto2" numFmtId="0">
      <sharedItems containsBlank="1"/>
    </cacheField>
    <cacheField name="R$ 4.000,00" numFmtId="166">
      <sharedItems containsString="0" containsBlank="1" containsNumber="1" minValue="0" maxValue="14222.09"/>
    </cacheField>
    <cacheField name="R$ 4.000,002" numFmtId="166">
      <sharedItems containsString="0" containsBlank="1" containsNumber="1" minValue="-6835.4699999999993" maxValue="14222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muel Oliveira" refreshedDate="41162.398021064815" createdVersion="3" refreshedVersion="4" minRefreshableVersion="3" recordCount="204">
  <cacheSource type="worksheet">
    <worksheetSource ref="D2:I1044" sheet="Dados"/>
  </cacheSource>
  <cacheFields count="6">
    <cacheField name="Mês" numFmtId="0">
      <sharedItems containsDate="1" containsBlank="1" containsMixedTypes="1" minDate="2012-01-01T00:00:00" maxDate="2012-12-02T00:00:00" count="15">
        <s v="Ano"/>
        <m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09-02T00:00:00"/>
        <d v="2012-10-01T00:00:00"/>
        <d v="2012-11-01T00:00:00"/>
        <d v="2012-12-01T00:00:00"/>
      </sharedItems>
    </cacheField>
    <cacheField name="Classificação" numFmtId="0">
      <sharedItems containsBlank="1" count="3">
        <s v="Crédito"/>
        <s v="Despesa"/>
        <m/>
      </sharedItems>
    </cacheField>
    <cacheField name="Tipo Despesa" numFmtId="0">
      <sharedItems containsBlank="1" count="10">
        <s v="Salário Bruto"/>
        <s v="Salário Líquido"/>
        <s v="Fixas"/>
        <s v="Investimentos"/>
        <s v="Cartão"/>
        <s v="Variáveis"/>
        <s v="Empréstimo"/>
        <s v="Negativo"/>
        <m/>
        <s v="Casamento"/>
      </sharedItems>
    </cacheField>
    <cacheField name="Descrição" numFmtId="0">
      <sharedItems containsBlank="1" count="32">
        <m/>
        <s v="Salário Bruto"/>
        <s v="Salário Líquido"/>
        <s v="Dízimo"/>
        <s v="Inglês"/>
        <s v="Casa"/>
        <s v="Água"/>
        <s v="Celular Claro"/>
        <s v="Celular Tim"/>
        <s v="Jornal (cartão)"/>
        <s v="Poupança"/>
        <s v="Curso Gabriel"/>
        <s v="Curso Matheus"/>
        <s v="Oferta Missões"/>
        <s v="Cartão (Master)"/>
        <s v="Cartão (Visa)"/>
        <s v="Semana"/>
        <s v="Negativo"/>
        <s v="Juros Cartão (V)"/>
        <s v="Empréstimo"/>
        <s v="Juros Cartão (M)"/>
        <s v="Multa"/>
        <s v="Perfume Iris"/>
        <s v="Empréstimo Vó"/>
        <s v="Seguro Carro"/>
        <s v="Seguro"/>
        <s v="Apartamento"/>
        <s v="Acampa"/>
        <s v="Casamento"/>
        <s v="Jornal" u="1"/>
        <s v="Poupança Casamento" u="1"/>
        <s v="Cabelo" u="1"/>
      </sharedItems>
    </cacheField>
    <cacheField name="Valor" numFmtId="166">
      <sharedItems containsString="0" containsBlank="1" containsNumber="1" minValue="0" maxValue="70052.09"/>
    </cacheField>
    <cacheField name="Valor (-)" numFmtId="166">
      <sharedItems containsString="0" containsBlank="1" containsNumber="1" minValue="-21940.400000000001" maxValue="70052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">
  <r>
    <x v="0"/>
    <s v="Crédito"/>
    <x v="0"/>
    <s v="Salário Líquido"/>
    <n v="3653"/>
    <n v="3653"/>
  </r>
  <r>
    <x v="0"/>
    <s v="Despesa"/>
    <x v="1"/>
    <s v="Dízimo"/>
    <n v="400"/>
    <n v="-400"/>
  </r>
  <r>
    <x v="0"/>
    <s v="Despesa"/>
    <x v="1"/>
    <s v="Inglês"/>
    <n v="277"/>
    <n v="-277"/>
  </r>
  <r>
    <x v="0"/>
    <s v="Despesa"/>
    <x v="1"/>
    <s v="Casa"/>
    <n v="100"/>
    <n v="-100"/>
  </r>
  <r>
    <x v="0"/>
    <s v="Despesa"/>
    <x v="1"/>
    <s v="Água"/>
    <n v="0"/>
    <n v="0"/>
  </r>
  <r>
    <x v="0"/>
    <s v="Despesa"/>
    <x v="1"/>
    <s v="Cabelo"/>
    <n v="0"/>
    <n v="0"/>
  </r>
  <r>
    <x v="0"/>
    <s v="Despesa"/>
    <x v="1"/>
    <s v="Celular Claro"/>
    <n v="35"/>
    <n v="-35"/>
  </r>
  <r>
    <x v="0"/>
    <s v="Despesa"/>
    <x v="1"/>
    <s v="Celular Tim"/>
    <n v="118"/>
    <n v="-118"/>
  </r>
  <r>
    <x v="0"/>
    <s v="Despesa"/>
    <x v="1"/>
    <s v="Jornal (cartão)"/>
    <n v="0"/>
    <n v="0"/>
  </r>
  <r>
    <x v="0"/>
    <s v="Despesa"/>
    <x v="2"/>
    <s v="Poupança"/>
    <n v="0"/>
    <n v="0"/>
  </r>
  <r>
    <x v="0"/>
    <s v="Despesa"/>
    <x v="2"/>
    <s v="Curso Gabriel"/>
    <n v="100"/>
    <n v="-100"/>
  </r>
  <r>
    <x v="0"/>
    <s v="Despesa"/>
    <x v="2"/>
    <s v="Curso Matheus"/>
    <n v="100"/>
    <n v="-100"/>
  </r>
  <r>
    <x v="0"/>
    <s v="Despesa"/>
    <x v="2"/>
    <s v="Oferta Missões"/>
    <n v="0"/>
    <n v="0"/>
  </r>
  <r>
    <x v="0"/>
    <s v="Despesa"/>
    <x v="3"/>
    <s v="Cartão (Master)"/>
    <n v="91.53"/>
    <n v="-91.53"/>
  </r>
  <r>
    <x v="0"/>
    <s v="Despesa"/>
    <x v="3"/>
    <s v="Cartão (Visa)"/>
    <n v="2000"/>
    <n v="-2000"/>
  </r>
  <r>
    <x v="0"/>
    <s v="Despesa"/>
    <x v="4"/>
    <s v="Semana"/>
    <n v="0"/>
    <n v="0"/>
  </r>
  <r>
    <x v="1"/>
    <s v="Crédito"/>
    <x v="5"/>
    <s v="Salário Bruto"/>
    <n v="4000"/>
    <n v="4000"/>
  </r>
  <r>
    <x v="1"/>
    <s v="Crédito"/>
    <x v="0"/>
    <s v="Salário Líquido"/>
    <n v="2642.48"/>
    <n v="2642.48"/>
  </r>
  <r>
    <x v="1"/>
    <s v="Despesa"/>
    <x v="1"/>
    <s v="Dízimo"/>
    <n v="455"/>
    <n v="-455"/>
  </r>
  <r>
    <x v="1"/>
    <s v="Despesa"/>
    <x v="1"/>
    <s v="Inglês"/>
    <n v="277"/>
    <n v="-277"/>
  </r>
  <r>
    <x v="1"/>
    <s v="Despesa"/>
    <x v="1"/>
    <s v="Casa"/>
    <n v="100"/>
    <n v="-100"/>
  </r>
  <r>
    <x v="1"/>
    <s v="Despesa"/>
    <x v="1"/>
    <s v="Água"/>
    <n v="250.15999999999997"/>
    <n v="-250.15999999999997"/>
  </r>
  <r>
    <x v="1"/>
    <s v="Despesa"/>
    <x v="1"/>
    <s v="Cabelo"/>
    <n v="0"/>
    <n v="0"/>
  </r>
  <r>
    <x v="1"/>
    <s v="Despesa"/>
    <x v="1"/>
    <s v="Celular Claro"/>
    <n v="35"/>
    <n v="-35"/>
  </r>
  <r>
    <x v="1"/>
    <s v="Despesa"/>
    <x v="1"/>
    <s v="Celular Tim"/>
    <n v="160"/>
    <n v="-160"/>
  </r>
  <r>
    <x v="1"/>
    <s v="Despesa"/>
    <x v="1"/>
    <s v="Jornal (cartão)"/>
    <n v="45"/>
    <n v="-45"/>
  </r>
  <r>
    <x v="1"/>
    <s v="Despesa"/>
    <x v="2"/>
    <s v="Poupança"/>
    <n v="0"/>
    <n v="0"/>
  </r>
  <r>
    <x v="1"/>
    <s v="Despesa"/>
    <x v="2"/>
    <s v="Curso Gabriel"/>
    <n v="100"/>
    <n v="-100"/>
  </r>
  <r>
    <x v="1"/>
    <s v="Despesa"/>
    <x v="2"/>
    <s v="Curso Matheus"/>
    <n v="100"/>
    <n v="-100"/>
  </r>
  <r>
    <x v="1"/>
    <s v="Despesa"/>
    <x v="2"/>
    <s v="Oferta Missões"/>
    <n v="0"/>
    <n v="0"/>
  </r>
  <r>
    <x v="1"/>
    <s v="Despesa"/>
    <x v="6"/>
    <s v="Negativo"/>
    <n v="493.18"/>
    <n v="-493.18"/>
  </r>
  <r>
    <x v="1"/>
    <s v="Despesa"/>
    <x v="3"/>
    <s v="Cartão (Master)"/>
    <n v="400"/>
    <n v="-400"/>
  </r>
  <r>
    <x v="1"/>
    <s v="Despesa"/>
    <x v="3"/>
    <s v="Cartão (Visa)"/>
    <n v="1000"/>
    <n v="-1000"/>
  </r>
  <r>
    <x v="1"/>
    <s v="Despesa"/>
    <x v="3"/>
    <s v="Juros Cartão (V)"/>
    <n v="296.08999999999997"/>
    <n v="-296.08999999999997"/>
  </r>
  <r>
    <x v="1"/>
    <s v="Despesa"/>
    <x v="4"/>
    <s v="Semana"/>
    <n v="0"/>
    <n v="0"/>
  </r>
  <r>
    <x v="2"/>
    <s v="Crédito"/>
    <x v="5"/>
    <s v="Salário Bruto"/>
    <n v="4550"/>
    <n v="4550"/>
  </r>
  <r>
    <x v="2"/>
    <s v="Crédito"/>
    <x v="0"/>
    <s v="Salário Líquido"/>
    <n v="2751.15"/>
    <n v="2751.15"/>
  </r>
  <r>
    <x v="2"/>
    <s v="Crédito"/>
    <x v="7"/>
    <s v="Empréstimo"/>
    <n v="10000"/>
    <n v="10000"/>
  </r>
  <r>
    <x v="2"/>
    <s v="Despesa"/>
    <x v="1"/>
    <s v="Dízimo"/>
    <n v="455"/>
    <n v="-455"/>
  </r>
  <r>
    <x v="2"/>
    <s v="Despesa"/>
    <x v="1"/>
    <s v="Inglês"/>
    <n v="277"/>
    <n v="-277"/>
  </r>
  <r>
    <x v="2"/>
    <s v="Despesa"/>
    <x v="1"/>
    <s v="Casa"/>
    <n v="100"/>
    <n v="-100"/>
  </r>
  <r>
    <x v="2"/>
    <s v="Despesa"/>
    <x v="1"/>
    <s v="Água"/>
    <n v="52.09"/>
    <n v="-52.09"/>
  </r>
  <r>
    <x v="2"/>
    <s v="Despesa"/>
    <x v="1"/>
    <s v="Celular Claro"/>
    <n v="35"/>
    <n v="-35"/>
  </r>
  <r>
    <x v="2"/>
    <s v="Despesa"/>
    <x v="1"/>
    <s v="Celular Tim"/>
    <n v="119"/>
    <n v="-119"/>
  </r>
  <r>
    <x v="2"/>
    <s v="Despesa"/>
    <x v="2"/>
    <s v="Poupança"/>
    <n v="0"/>
    <n v="0"/>
  </r>
  <r>
    <x v="2"/>
    <s v="Despesa"/>
    <x v="2"/>
    <s v="Curso Gabriel"/>
    <n v="100"/>
    <n v="-100"/>
  </r>
  <r>
    <x v="2"/>
    <s v="Despesa"/>
    <x v="2"/>
    <s v="Curso Matheus"/>
    <n v="100"/>
    <n v="-100"/>
  </r>
  <r>
    <x v="2"/>
    <s v="Despesa"/>
    <x v="2"/>
    <s v="Oferta Missões"/>
    <n v="0"/>
    <n v="0"/>
  </r>
  <r>
    <x v="2"/>
    <s v="Despesa"/>
    <x v="6"/>
    <s v="Negativo"/>
    <n v="769.58"/>
    <n v="-769.58"/>
  </r>
  <r>
    <x v="2"/>
    <s v="Despesa"/>
    <x v="3"/>
    <s v="Cartão (Master)"/>
    <n v="1878.0900000000001"/>
    <n v="-1878.0900000000001"/>
  </r>
  <r>
    <x v="2"/>
    <s v="Despesa"/>
    <x v="3"/>
    <s v="Juros Cartão (M)"/>
    <n v="253.27"/>
    <n v="-253.27"/>
  </r>
  <r>
    <x v="2"/>
    <s v="Despesa"/>
    <x v="3"/>
    <s v="Cartão (Visa)"/>
    <n v="6835.4699999999993"/>
    <n v="-6835.4699999999993"/>
  </r>
  <r>
    <x v="2"/>
    <s v="Despesa"/>
    <x v="3"/>
    <s v="Juros Cartão (V)"/>
    <n v="439.76"/>
    <n v="-439.76"/>
  </r>
  <r>
    <x v="2"/>
    <s v="Despesa"/>
    <x v="4"/>
    <s v="Multa"/>
    <n v="89"/>
    <n v="-89"/>
  </r>
  <r>
    <x v="3"/>
    <s v="Crédito"/>
    <x v="5"/>
    <s v="Salário Bruto"/>
    <n v="14222.09"/>
    <n v="14222.09"/>
  </r>
  <r>
    <x v="3"/>
    <s v="Crédito"/>
    <x v="0"/>
    <s v="Salário Líquido"/>
    <n v="11281.15"/>
    <n v="11281.15"/>
  </r>
  <r>
    <x v="3"/>
    <s v="Despesa"/>
    <x v="1"/>
    <s v="Dízimo"/>
    <n v="1422.2090000000001"/>
    <n v="-1422.2090000000001"/>
  </r>
  <r>
    <x v="3"/>
    <s v="Despesa"/>
    <x v="1"/>
    <s v="Inglês"/>
    <n v="277"/>
    <n v="-277"/>
  </r>
  <r>
    <x v="3"/>
    <s v="Despesa"/>
    <x v="1"/>
    <s v="Casa"/>
    <n v="100"/>
    <n v="-100"/>
  </r>
  <r>
    <x v="3"/>
    <s v="Despesa"/>
    <x v="1"/>
    <s v="Água"/>
    <n v="78.81"/>
    <n v="-78.81"/>
  </r>
  <r>
    <x v="3"/>
    <s v="Despesa"/>
    <x v="1"/>
    <s v="Celular Claro"/>
    <n v="35"/>
    <n v="-35"/>
  </r>
  <r>
    <x v="3"/>
    <s v="Despesa"/>
    <x v="1"/>
    <s v="Celular Tim"/>
    <n v="111.76"/>
    <n v="-111.76"/>
  </r>
  <r>
    <x v="3"/>
    <s v="Despesa"/>
    <x v="7"/>
    <s v="Empréstimo"/>
    <n v="6460"/>
    <n v="-6460"/>
  </r>
  <r>
    <x v="3"/>
    <s v="Despesa"/>
    <x v="2"/>
    <s v="Poupança"/>
    <n v="0"/>
    <n v="0"/>
  </r>
  <r>
    <x v="3"/>
    <s v="Despesa"/>
    <x v="2"/>
    <s v="Curso Gabriel"/>
    <n v="100"/>
    <n v="-100"/>
  </r>
  <r>
    <x v="3"/>
    <s v="Despesa"/>
    <x v="2"/>
    <s v="Curso Matheus"/>
    <n v="100"/>
    <n v="-100"/>
  </r>
  <r>
    <x v="3"/>
    <s v="Despesa"/>
    <x v="2"/>
    <s v="Oferta Missões"/>
    <n v="0"/>
    <n v="0"/>
  </r>
  <r>
    <x v="3"/>
    <s v="Despesa"/>
    <x v="3"/>
    <s v="Cartão (Master)"/>
    <n v="1215"/>
    <n v="-1215"/>
  </r>
  <r>
    <x v="3"/>
    <s v="Despesa"/>
    <x v="3"/>
    <s v="Cartão (Visa)"/>
    <n v="34.08"/>
    <n v="-34.08"/>
  </r>
  <r>
    <x v="3"/>
    <s v="Despesa"/>
    <x v="4"/>
    <s v="Perfume Iris"/>
    <n v="155"/>
    <n v="-155"/>
  </r>
  <r>
    <x v="3"/>
    <s v="Despesa"/>
    <x v="4"/>
    <s v="Empréstimo Vó"/>
    <n v="500"/>
    <n v="-500"/>
  </r>
  <r>
    <x v="3"/>
    <s v="Despesa"/>
    <x v="4"/>
    <s v="Seguro Carro"/>
    <n v="320"/>
    <n v="-320"/>
  </r>
  <r>
    <x v="4"/>
    <s v="Crédito"/>
    <x v="5"/>
    <s v="Salário Bruto"/>
    <n v="4880"/>
    <n v="4880"/>
  </r>
  <r>
    <x v="4"/>
    <s v="Crédito"/>
    <x v="0"/>
    <s v="Salário Líquido"/>
    <n v="2900"/>
    <n v="2900"/>
  </r>
  <r>
    <x v="4"/>
    <s v="Despesa"/>
    <x v="1"/>
    <s v="Dízimo"/>
    <n v="488"/>
    <n v="-488"/>
  </r>
  <r>
    <x v="4"/>
    <s v="Despesa"/>
    <x v="1"/>
    <s v="Inglês"/>
    <n v="412"/>
    <n v="-412"/>
  </r>
  <r>
    <x v="4"/>
    <s v="Despesa"/>
    <x v="1"/>
    <s v="Casa"/>
    <n v="100"/>
    <n v="-100"/>
  </r>
  <r>
    <x v="4"/>
    <s v="Despesa"/>
    <x v="1"/>
    <s v="Água"/>
    <n v="35"/>
    <n v="-35"/>
  </r>
  <r>
    <x v="4"/>
    <s v="Despesa"/>
    <x v="1"/>
    <s v="Celular Tim"/>
    <n v="108.7"/>
    <n v="-108.7"/>
  </r>
  <r>
    <x v="4"/>
    <s v="Despesa"/>
    <x v="1"/>
    <s v="Jornal (cartão)"/>
    <n v="59.9"/>
    <n v="-59.9"/>
  </r>
  <r>
    <x v="4"/>
    <s v="Despesa"/>
    <x v="7"/>
    <s v="Empréstimo"/>
    <n v="1105.8"/>
    <n v="-1105.8"/>
  </r>
  <r>
    <x v="4"/>
    <s v="Despesa"/>
    <x v="2"/>
    <s v="Poupança"/>
    <n v="0"/>
    <n v="0"/>
  </r>
  <r>
    <x v="4"/>
    <s v="Despesa"/>
    <x v="2"/>
    <s v="Curso Gabriel"/>
    <n v="100"/>
    <n v="-100"/>
  </r>
  <r>
    <x v="4"/>
    <s v="Despesa"/>
    <x v="2"/>
    <s v="Curso Matheus"/>
    <n v="100"/>
    <n v="-100"/>
  </r>
  <r>
    <x v="4"/>
    <s v="Despesa"/>
    <x v="3"/>
    <s v="Cartão (Master)"/>
    <n v="0"/>
    <n v="0"/>
  </r>
  <r>
    <x v="4"/>
    <s v="Despesa"/>
    <x v="3"/>
    <s v="Cartão (Visa)"/>
    <n v="1025"/>
    <n v="-1025"/>
  </r>
  <r>
    <x v="4"/>
    <s v="Despesa"/>
    <x v="4"/>
    <s v="Seguro"/>
    <n v="270"/>
    <n v="-270"/>
  </r>
  <r>
    <x v="5"/>
    <s v="Crédito"/>
    <x v="5"/>
    <s v="Salário Bruto"/>
    <n v="4800"/>
    <n v="4800"/>
  </r>
  <r>
    <x v="5"/>
    <s v="Crédito"/>
    <x v="0"/>
    <s v="Salário Líquido"/>
    <n v="3103.78"/>
    <n v="3103.78"/>
  </r>
  <r>
    <x v="5"/>
    <s v="Despesa"/>
    <x v="1"/>
    <s v="Dízimo"/>
    <n v="480"/>
    <n v="-480"/>
  </r>
  <r>
    <x v="5"/>
    <s v="Despesa"/>
    <x v="1"/>
    <s v="Casa"/>
    <n v="100"/>
    <n v="-100"/>
  </r>
  <r>
    <x v="5"/>
    <s v="Despesa"/>
    <x v="1"/>
    <s v="Água"/>
    <n v="30.32"/>
    <n v="-30.32"/>
  </r>
  <r>
    <x v="5"/>
    <s v="Despesa"/>
    <x v="1"/>
    <s v="Jornal (cartão)"/>
    <n v="59.9"/>
    <n v="-59.9"/>
  </r>
  <r>
    <x v="5"/>
    <s v="Despesa"/>
    <x v="1"/>
    <s v="Celular Tim"/>
    <n v="118.93"/>
    <n v="-118.93"/>
  </r>
  <r>
    <x v="5"/>
    <s v="Despesa"/>
    <x v="7"/>
    <s v="Empréstimo"/>
    <n v="1110"/>
    <n v="-1110"/>
  </r>
  <r>
    <x v="5"/>
    <s v="Despesa"/>
    <x v="2"/>
    <s v="Poupança"/>
    <n v="0"/>
    <n v="0"/>
  </r>
  <r>
    <x v="5"/>
    <s v="Despesa"/>
    <x v="2"/>
    <s v="Curso Gabriel"/>
    <n v="100"/>
    <n v="-100"/>
  </r>
  <r>
    <x v="5"/>
    <s v="Despesa"/>
    <x v="2"/>
    <s v="Curso Matheus"/>
    <n v="100"/>
    <n v="-100"/>
  </r>
  <r>
    <x v="5"/>
    <s v="Despesa"/>
    <x v="8"/>
    <s v="Poupança Casamento"/>
    <n v="0"/>
    <n v="0"/>
  </r>
  <r>
    <x v="5"/>
    <s v="Despesa"/>
    <x v="3"/>
    <s v="Cartão (Master)"/>
    <n v="0"/>
    <n v="0"/>
  </r>
  <r>
    <x v="5"/>
    <s v="Despesa"/>
    <x v="3"/>
    <s v="Cartão (Visa)"/>
    <n v="900"/>
    <n v="-900"/>
  </r>
  <r>
    <x v="5"/>
    <s v="Despesa"/>
    <x v="4"/>
    <s v="Semana"/>
    <n v="0"/>
    <n v="0"/>
  </r>
  <r>
    <x v="6"/>
    <s v="Crédito"/>
    <x v="5"/>
    <s v="Salário Bruto"/>
    <n v="4880"/>
    <n v="4880"/>
  </r>
  <r>
    <x v="6"/>
    <s v="Crédito"/>
    <x v="0"/>
    <s v="Salário Líquido"/>
    <n v="2900"/>
    <n v="2900"/>
  </r>
  <r>
    <x v="6"/>
    <s v="Despesa"/>
    <x v="1"/>
    <s v="Dízimo"/>
    <n v="488"/>
    <n v="-488"/>
  </r>
  <r>
    <x v="6"/>
    <s v="Despesa"/>
    <x v="1"/>
    <s v="Inglês"/>
    <n v="0"/>
    <n v="0"/>
  </r>
  <r>
    <x v="6"/>
    <s v="Despesa"/>
    <x v="1"/>
    <s v="Casa"/>
    <n v="100"/>
    <n v="-100"/>
  </r>
  <r>
    <x v="6"/>
    <s v="Despesa"/>
    <x v="1"/>
    <s v="Água"/>
    <n v="94.07"/>
    <n v="-94.07"/>
  </r>
  <r>
    <x v="6"/>
    <s v="Despesa"/>
    <x v="1"/>
    <s v="Jornal (cartão)"/>
    <n v="59.9"/>
    <n v="-59.9"/>
  </r>
  <r>
    <x v="6"/>
    <s v="Despesa"/>
    <x v="1"/>
    <s v="Celular Tim"/>
    <n v="160"/>
    <n v="-160"/>
  </r>
  <r>
    <x v="6"/>
    <s v="Despesa"/>
    <x v="7"/>
    <s v="Empréstimo"/>
    <n v="1023.75"/>
    <n v="-1023.75"/>
  </r>
  <r>
    <x v="6"/>
    <s v="Despesa"/>
    <x v="2"/>
    <s v="Poupança"/>
    <n v="0"/>
    <n v="0"/>
  </r>
  <r>
    <x v="6"/>
    <s v="Despesa"/>
    <x v="2"/>
    <s v="Curso Gabriel"/>
    <n v="100"/>
    <n v="-100"/>
  </r>
  <r>
    <x v="6"/>
    <s v="Despesa"/>
    <x v="2"/>
    <s v="Curso Matheus"/>
    <n v="100"/>
    <n v="-100"/>
  </r>
  <r>
    <x v="6"/>
    <s v="Despesa"/>
    <x v="8"/>
    <s v="Poupança Casamento"/>
    <n v="0"/>
    <n v="0"/>
  </r>
  <r>
    <x v="6"/>
    <s v="Despesa"/>
    <x v="3"/>
    <s v="Cartão (Master)"/>
    <n v="0"/>
    <n v="0"/>
  </r>
  <r>
    <x v="6"/>
    <s v="Despesa"/>
    <x v="3"/>
    <s v="Cartão (Visa)"/>
    <n v="1400.22"/>
    <n v="-1400.22"/>
  </r>
  <r>
    <x v="6"/>
    <s v="Despesa"/>
    <x v="4"/>
    <s v="Semana"/>
    <n v="0"/>
    <n v="0"/>
  </r>
  <r>
    <x v="7"/>
    <s v="Crédito"/>
    <x v="5"/>
    <s v="Salário Bruto"/>
    <n v="4880"/>
    <n v="4880"/>
  </r>
  <r>
    <x v="7"/>
    <s v="Crédito"/>
    <x v="0"/>
    <s v="Salário Líquido"/>
    <n v="2900"/>
    <n v="2900"/>
  </r>
  <r>
    <x v="7"/>
    <s v="Despesa"/>
    <x v="1"/>
    <s v="Dízimo"/>
    <n v="488"/>
    <n v="-488"/>
  </r>
  <r>
    <x v="7"/>
    <s v="Despesa"/>
    <x v="1"/>
    <s v="Inglês"/>
    <n v="0"/>
    <n v="0"/>
  </r>
  <r>
    <x v="7"/>
    <s v="Despesa"/>
    <x v="1"/>
    <s v="Casa"/>
    <n v="100"/>
    <n v="-100"/>
  </r>
  <r>
    <x v="7"/>
    <s v="Despesa"/>
    <x v="1"/>
    <s v="Água"/>
    <n v="78.81"/>
    <n v="-78.81"/>
  </r>
  <r>
    <x v="7"/>
    <s v="Despesa"/>
    <x v="1"/>
    <s v="Jornal (cartão)"/>
    <n v="59.9"/>
    <n v="-59.9"/>
  </r>
  <r>
    <x v="7"/>
    <s v="Despesa"/>
    <x v="1"/>
    <s v="Celular Tim"/>
    <n v="160"/>
    <n v="-160"/>
  </r>
  <r>
    <x v="7"/>
    <s v="Despesa"/>
    <x v="7"/>
    <s v="Empréstimo"/>
    <n v="991.05"/>
    <n v="-991.05"/>
  </r>
  <r>
    <x v="7"/>
    <s v="Despesa"/>
    <x v="2"/>
    <s v="Poupança"/>
    <n v="0"/>
    <n v="0"/>
  </r>
  <r>
    <x v="7"/>
    <s v="Despesa"/>
    <x v="2"/>
    <s v="Curso Gabriel"/>
    <n v="100"/>
    <n v="-100"/>
  </r>
  <r>
    <x v="7"/>
    <s v="Despesa"/>
    <x v="2"/>
    <s v="Curso Matheus"/>
    <n v="100"/>
    <n v="-100"/>
  </r>
  <r>
    <x v="7"/>
    <s v="Despesa"/>
    <x v="8"/>
    <s v="Poupança Casamento"/>
    <n v="0"/>
    <n v="0"/>
  </r>
  <r>
    <x v="7"/>
    <s v="Despesa"/>
    <x v="3"/>
    <s v="Cartão (Master)"/>
    <n v="0"/>
    <n v="0"/>
  </r>
  <r>
    <x v="7"/>
    <s v="Despesa"/>
    <x v="3"/>
    <s v="Cartão (Visa)"/>
    <n v="755"/>
    <n v="-755"/>
  </r>
  <r>
    <x v="7"/>
    <s v="Despesa"/>
    <x v="4"/>
    <s v="Semana"/>
    <n v="0"/>
    <n v="0"/>
  </r>
  <r>
    <x v="8"/>
    <s v="Crédito"/>
    <x v="5"/>
    <s v="Salário Bruto"/>
    <n v="4880"/>
    <n v="4880"/>
  </r>
  <r>
    <x v="8"/>
    <s v="Crédito"/>
    <x v="0"/>
    <s v="Salário Líquido"/>
    <n v="2900"/>
    <n v="2900"/>
  </r>
  <r>
    <x v="8"/>
    <s v="Despesa"/>
    <x v="1"/>
    <s v="Dízimo"/>
    <n v="488"/>
    <n v="-488"/>
  </r>
  <r>
    <x v="8"/>
    <s v="Despesa"/>
    <x v="1"/>
    <s v="Inglês"/>
    <n v="0"/>
    <n v="0"/>
  </r>
  <r>
    <x v="8"/>
    <s v="Despesa"/>
    <x v="1"/>
    <s v="Casa"/>
    <n v="100"/>
    <n v="-100"/>
  </r>
  <r>
    <x v="8"/>
    <s v="Despesa"/>
    <x v="1"/>
    <s v="Água"/>
    <n v="40"/>
    <n v="-40"/>
  </r>
  <r>
    <x v="8"/>
    <s v="Despesa"/>
    <x v="1"/>
    <s v="Jornal (cartão)"/>
    <n v="59.9"/>
    <n v="-59.9"/>
  </r>
  <r>
    <x v="8"/>
    <s v="Despesa"/>
    <x v="1"/>
    <s v="Celular Tim"/>
    <n v="100"/>
    <n v="-100"/>
  </r>
  <r>
    <x v="8"/>
    <s v="Despesa"/>
    <x v="2"/>
    <s v="Poupança"/>
    <n v="0"/>
    <n v="0"/>
  </r>
  <r>
    <x v="8"/>
    <s v="Despesa"/>
    <x v="2"/>
    <s v="Curso Gabriel"/>
    <n v="100"/>
    <n v="-100"/>
  </r>
  <r>
    <x v="8"/>
    <s v="Despesa"/>
    <x v="2"/>
    <s v="Curso Matheus"/>
    <n v="100"/>
    <n v="-100"/>
  </r>
  <r>
    <x v="8"/>
    <s v="Despesa"/>
    <x v="8"/>
    <s v="Poupança Casamento"/>
    <n v="0"/>
    <n v="0"/>
  </r>
  <r>
    <x v="8"/>
    <s v="Despesa"/>
    <x v="3"/>
    <s v="Cartão (Master)"/>
    <n v="0"/>
    <n v="0"/>
  </r>
  <r>
    <x v="8"/>
    <s v="Despesa"/>
    <x v="3"/>
    <s v="Cartão (Visa)"/>
    <n v="755"/>
    <n v="-755"/>
  </r>
  <r>
    <x v="8"/>
    <s v="Despesa"/>
    <x v="4"/>
    <s v="Semana"/>
    <n v="0"/>
    <n v="0"/>
  </r>
  <r>
    <x v="9"/>
    <s v="Crédito"/>
    <x v="5"/>
    <s v="Salário Bruto"/>
    <n v="4880"/>
    <n v="4880"/>
  </r>
  <r>
    <x v="9"/>
    <s v="Crédito"/>
    <x v="0"/>
    <s v="Salário Líquido"/>
    <n v="2900"/>
    <n v="2900"/>
  </r>
  <r>
    <x v="9"/>
    <s v="Despesa"/>
    <x v="1"/>
    <s v="Dízimo"/>
    <n v="488"/>
    <n v="-488"/>
  </r>
  <r>
    <x v="9"/>
    <s v="Despesa"/>
    <x v="1"/>
    <s v="Inglês"/>
    <n v="0"/>
    <n v="0"/>
  </r>
  <r>
    <x v="9"/>
    <s v="Despesa"/>
    <x v="1"/>
    <s v="Casa"/>
    <n v="100"/>
    <n v="-100"/>
  </r>
  <r>
    <x v="9"/>
    <s v="Despesa"/>
    <x v="1"/>
    <s v="Água"/>
    <n v="78.81"/>
    <n v="-78.81"/>
  </r>
  <r>
    <x v="9"/>
    <s v="Despesa"/>
    <x v="1"/>
    <s v="Jornal (cartão)"/>
    <n v="59.9"/>
    <n v="-59.9"/>
  </r>
  <r>
    <x v="9"/>
    <s v="Despesa"/>
    <x v="1"/>
    <s v="Celular Tim"/>
    <n v="100"/>
    <n v="-100"/>
  </r>
  <r>
    <x v="9"/>
    <s v="Despesa"/>
    <x v="2"/>
    <s v="Poupança"/>
    <n v="0"/>
    <n v="0"/>
  </r>
  <r>
    <x v="9"/>
    <s v="Despesa"/>
    <x v="2"/>
    <s v="Curso Gabriel"/>
    <n v="100"/>
    <n v="-100"/>
  </r>
  <r>
    <x v="9"/>
    <s v="Despesa"/>
    <x v="2"/>
    <s v="Curso Matheus"/>
    <n v="100"/>
    <n v="-100"/>
  </r>
  <r>
    <x v="9"/>
    <s v="Despesa"/>
    <x v="8"/>
    <s v="Poupança Casamento"/>
    <n v="1500"/>
    <n v="-1500"/>
  </r>
  <r>
    <x v="9"/>
    <s v="Despesa"/>
    <x v="3"/>
    <s v="Cartão (Master)"/>
    <n v="0"/>
    <n v="0"/>
  </r>
  <r>
    <x v="9"/>
    <s v="Despesa"/>
    <x v="3"/>
    <s v="Cartão (Visa)"/>
    <n v="755"/>
    <n v="-755"/>
  </r>
  <r>
    <x v="9"/>
    <s v="Despesa"/>
    <x v="4"/>
    <s v="Semana"/>
    <n v="0"/>
    <n v="0"/>
  </r>
  <r>
    <x v="10"/>
    <s v="Crédito"/>
    <x v="5"/>
    <s v="Salário Bruto"/>
    <n v="7200"/>
    <n v="7200"/>
  </r>
  <r>
    <x v="10"/>
    <s v="Crédito"/>
    <x v="0"/>
    <s v="Salário Líquido"/>
    <n v="5300"/>
    <n v="5300"/>
  </r>
  <r>
    <x v="10"/>
    <s v="Despesa"/>
    <x v="1"/>
    <s v="Dízimo"/>
    <n v="720"/>
    <n v="-720"/>
  </r>
  <r>
    <x v="10"/>
    <s v="Despesa"/>
    <x v="1"/>
    <s v="Inglês"/>
    <n v="0"/>
    <n v="0"/>
  </r>
  <r>
    <x v="10"/>
    <s v="Despesa"/>
    <x v="1"/>
    <s v="Casa"/>
    <n v="100"/>
    <n v="-100"/>
  </r>
  <r>
    <x v="10"/>
    <s v="Despesa"/>
    <x v="1"/>
    <s v="Água"/>
    <n v="78.81"/>
    <n v="-78.81"/>
  </r>
  <r>
    <x v="10"/>
    <s v="Despesa"/>
    <x v="1"/>
    <s v="Jornal (cartão)"/>
    <n v="59.9"/>
    <n v="-59.9"/>
  </r>
  <r>
    <x v="10"/>
    <s v="Despesa"/>
    <x v="1"/>
    <s v="Celular Tim"/>
    <n v="100"/>
    <n v="-100"/>
  </r>
  <r>
    <x v="10"/>
    <s v="Despesa"/>
    <x v="2"/>
    <s v="Poupança"/>
    <n v="0"/>
    <n v="0"/>
  </r>
  <r>
    <x v="10"/>
    <s v="Despesa"/>
    <x v="2"/>
    <s v="Curso Gabriel"/>
    <n v="100"/>
    <n v="-100"/>
  </r>
  <r>
    <x v="10"/>
    <s v="Despesa"/>
    <x v="2"/>
    <s v="Curso Matheus"/>
    <n v="100"/>
    <n v="-100"/>
  </r>
  <r>
    <x v="10"/>
    <s v="Despesa"/>
    <x v="8"/>
    <s v="Poupança Casamento"/>
    <n v="3400"/>
    <n v="-3400"/>
  </r>
  <r>
    <x v="10"/>
    <s v="Despesa"/>
    <x v="3"/>
    <s v="Cartão (Master)"/>
    <n v="0"/>
    <n v="0"/>
  </r>
  <r>
    <x v="10"/>
    <s v="Despesa"/>
    <x v="3"/>
    <s v="Cartão (Visa)"/>
    <n v="755"/>
    <n v="-755"/>
  </r>
  <r>
    <x v="10"/>
    <s v="Despesa"/>
    <x v="4"/>
    <s v="Semana"/>
    <n v="0"/>
    <n v="0"/>
  </r>
  <r>
    <x v="11"/>
    <s v="Crédito"/>
    <x v="5"/>
    <s v="Salário Bruto"/>
    <n v="6880"/>
    <n v="6880"/>
  </r>
  <r>
    <x v="11"/>
    <s v="Crédito"/>
    <x v="0"/>
    <s v="Salário Líquido"/>
    <n v="3800"/>
    <n v="3800"/>
  </r>
  <r>
    <x v="11"/>
    <s v="Despesa"/>
    <x v="1"/>
    <s v="Dízimo"/>
    <n v="688"/>
    <n v="-688"/>
  </r>
  <r>
    <x v="11"/>
    <s v="Despesa"/>
    <x v="1"/>
    <s v="Inglês"/>
    <n v="0"/>
    <n v="0"/>
  </r>
  <r>
    <x v="11"/>
    <s v="Despesa"/>
    <x v="1"/>
    <s v="Casa"/>
    <n v="100"/>
    <n v="-100"/>
  </r>
  <r>
    <x v="11"/>
    <s v="Despesa"/>
    <x v="1"/>
    <s v="Água"/>
    <n v="78.81"/>
    <n v="-78.81"/>
  </r>
  <r>
    <x v="11"/>
    <s v="Despesa"/>
    <x v="1"/>
    <s v="Jornal (cartão)"/>
    <n v="59.9"/>
    <n v="-59.9"/>
  </r>
  <r>
    <x v="11"/>
    <s v="Despesa"/>
    <x v="1"/>
    <s v="Celular Tim"/>
    <n v="100"/>
    <n v="-100"/>
  </r>
  <r>
    <x v="11"/>
    <s v="Despesa"/>
    <x v="2"/>
    <s v="Poupança"/>
    <n v="0"/>
    <n v="0"/>
  </r>
  <r>
    <x v="11"/>
    <s v="Despesa"/>
    <x v="2"/>
    <s v="Curso Gabriel"/>
    <n v="100"/>
    <n v="-100"/>
  </r>
  <r>
    <x v="11"/>
    <s v="Despesa"/>
    <x v="2"/>
    <s v="Curso Matheus"/>
    <n v="100"/>
    <n v="-100"/>
  </r>
  <r>
    <x v="11"/>
    <s v="Despesa"/>
    <x v="8"/>
    <s v="Poupança Casamento"/>
    <n v="1800"/>
    <n v="-1800"/>
  </r>
  <r>
    <x v="11"/>
    <s v="Despesa"/>
    <x v="3"/>
    <s v="Cartão (Master)"/>
    <n v="0"/>
    <n v="0"/>
  </r>
  <r>
    <x v="11"/>
    <s v="Despesa"/>
    <x v="3"/>
    <s v="Cartão (Visa)"/>
    <n v="59.9"/>
    <n v="-59.9"/>
  </r>
  <r>
    <x v="11"/>
    <s v="Despesa"/>
    <x v="4"/>
    <s v="Semana"/>
    <n v="0"/>
    <n v="0"/>
  </r>
  <r>
    <x v="12"/>
    <m/>
    <x v="9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x v="0"/>
    <x v="0"/>
    <x v="0"/>
    <x v="0"/>
    <n v="70052.09"/>
    <n v="70052.09"/>
  </r>
  <r>
    <x v="0"/>
    <x v="0"/>
    <x v="1"/>
    <x v="0"/>
    <n v="48013.56"/>
    <n v="48013.56"/>
  </r>
  <r>
    <x v="0"/>
    <x v="1"/>
    <x v="2"/>
    <x v="0"/>
    <n v="12665.658999999996"/>
    <n v="-12665.658999999996"/>
  </r>
  <r>
    <x v="0"/>
    <x v="1"/>
    <x v="3"/>
    <x v="0"/>
    <n v="2400"/>
    <n v="-2400"/>
  </r>
  <r>
    <x v="0"/>
    <x v="1"/>
    <x v="4"/>
    <x v="0"/>
    <n v="21940.400000000001"/>
    <n v="-21940.400000000001"/>
  </r>
  <r>
    <x v="0"/>
    <x v="1"/>
    <x v="5"/>
    <x v="0"/>
    <n v="1659.13"/>
    <n v="-1659.13"/>
  </r>
  <r>
    <x v="0"/>
    <x v="1"/>
    <x v="6"/>
    <x v="0"/>
    <n v="20892.739999999998"/>
    <n v="-20892.739999999998"/>
  </r>
  <r>
    <x v="0"/>
    <x v="1"/>
    <x v="7"/>
    <x v="0"/>
    <n v="1262.76"/>
    <n v="-1262.76"/>
  </r>
  <r>
    <x v="1"/>
    <x v="2"/>
    <x v="8"/>
    <x v="0"/>
    <m/>
    <m/>
  </r>
  <r>
    <x v="2"/>
    <x v="0"/>
    <x v="0"/>
    <x v="1"/>
    <n v="4000"/>
    <n v="4000"/>
  </r>
  <r>
    <x v="2"/>
    <x v="0"/>
    <x v="1"/>
    <x v="2"/>
    <n v="3653"/>
    <n v="3653"/>
  </r>
  <r>
    <x v="2"/>
    <x v="1"/>
    <x v="2"/>
    <x v="3"/>
    <n v="400"/>
    <n v="-400"/>
  </r>
  <r>
    <x v="2"/>
    <x v="1"/>
    <x v="2"/>
    <x v="4"/>
    <n v="277"/>
    <n v="-277"/>
  </r>
  <r>
    <x v="2"/>
    <x v="1"/>
    <x v="2"/>
    <x v="5"/>
    <n v="100"/>
    <n v="-100"/>
  </r>
  <r>
    <x v="2"/>
    <x v="1"/>
    <x v="2"/>
    <x v="6"/>
    <n v="0"/>
    <n v="0"/>
  </r>
  <r>
    <x v="2"/>
    <x v="1"/>
    <x v="2"/>
    <x v="7"/>
    <n v="35"/>
    <n v="-35"/>
  </r>
  <r>
    <x v="2"/>
    <x v="1"/>
    <x v="2"/>
    <x v="8"/>
    <n v="118"/>
    <n v="-118"/>
  </r>
  <r>
    <x v="2"/>
    <x v="1"/>
    <x v="2"/>
    <x v="9"/>
    <n v="0"/>
    <n v="0"/>
  </r>
  <r>
    <x v="2"/>
    <x v="1"/>
    <x v="3"/>
    <x v="10"/>
    <n v="0"/>
    <n v="0"/>
  </r>
  <r>
    <x v="2"/>
    <x v="1"/>
    <x v="3"/>
    <x v="11"/>
    <n v="100"/>
    <n v="-100"/>
  </r>
  <r>
    <x v="2"/>
    <x v="1"/>
    <x v="3"/>
    <x v="12"/>
    <n v="100"/>
    <n v="-100"/>
  </r>
  <r>
    <x v="2"/>
    <x v="1"/>
    <x v="3"/>
    <x v="13"/>
    <n v="0"/>
    <n v="0"/>
  </r>
  <r>
    <x v="2"/>
    <x v="1"/>
    <x v="4"/>
    <x v="14"/>
    <n v="91.53"/>
    <n v="-91.53"/>
  </r>
  <r>
    <x v="2"/>
    <x v="1"/>
    <x v="4"/>
    <x v="15"/>
    <n v="2000"/>
    <n v="-2000"/>
  </r>
  <r>
    <x v="2"/>
    <x v="1"/>
    <x v="5"/>
    <x v="16"/>
    <n v="0"/>
    <n v="0"/>
  </r>
  <r>
    <x v="3"/>
    <x v="0"/>
    <x v="0"/>
    <x v="1"/>
    <n v="4000"/>
    <n v="4000"/>
  </r>
  <r>
    <x v="3"/>
    <x v="0"/>
    <x v="1"/>
    <x v="2"/>
    <n v="2642.48"/>
    <n v="2642.48"/>
  </r>
  <r>
    <x v="3"/>
    <x v="1"/>
    <x v="2"/>
    <x v="3"/>
    <n v="455"/>
    <n v="-455"/>
  </r>
  <r>
    <x v="3"/>
    <x v="1"/>
    <x v="2"/>
    <x v="4"/>
    <n v="277"/>
    <n v="-277"/>
  </r>
  <r>
    <x v="3"/>
    <x v="1"/>
    <x v="2"/>
    <x v="5"/>
    <n v="100"/>
    <n v="-100"/>
  </r>
  <r>
    <x v="3"/>
    <x v="1"/>
    <x v="2"/>
    <x v="6"/>
    <n v="250.15999999999997"/>
    <n v="-250.15999999999997"/>
  </r>
  <r>
    <x v="3"/>
    <x v="1"/>
    <x v="2"/>
    <x v="7"/>
    <n v="35"/>
    <n v="-35"/>
  </r>
  <r>
    <x v="3"/>
    <x v="1"/>
    <x v="2"/>
    <x v="8"/>
    <n v="160"/>
    <n v="-160"/>
  </r>
  <r>
    <x v="3"/>
    <x v="1"/>
    <x v="2"/>
    <x v="9"/>
    <n v="45"/>
    <n v="-45"/>
  </r>
  <r>
    <x v="3"/>
    <x v="1"/>
    <x v="3"/>
    <x v="10"/>
    <n v="0"/>
    <n v="0"/>
  </r>
  <r>
    <x v="3"/>
    <x v="1"/>
    <x v="3"/>
    <x v="11"/>
    <n v="100"/>
    <n v="-100"/>
  </r>
  <r>
    <x v="3"/>
    <x v="1"/>
    <x v="3"/>
    <x v="12"/>
    <n v="100"/>
    <n v="-100"/>
  </r>
  <r>
    <x v="3"/>
    <x v="1"/>
    <x v="3"/>
    <x v="13"/>
    <n v="0"/>
    <n v="0"/>
  </r>
  <r>
    <x v="3"/>
    <x v="1"/>
    <x v="7"/>
    <x v="17"/>
    <n v="493.18"/>
    <n v="-493.18"/>
  </r>
  <r>
    <x v="3"/>
    <x v="1"/>
    <x v="4"/>
    <x v="14"/>
    <n v="400"/>
    <n v="-400"/>
  </r>
  <r>
    <x v="3"/>
    <x v="1"/>
    <x v="4"/>
    <x v="15"/>
    <n v="1000"/>
    <n v="-1000"/>
  </r>
  <r>
    <x v="3"/>
    <x v="1"/>
    <x v="4"/>
    <x v="18"/>
    <n v="296.08999999999997"/>
    <n v="-296.08999999999997"/>
  </r>
  <r>
    <x v="3"/>
    <x v="1"/>
    <x v="5"/>
    <x v="16"/>
    <n v="0"/>
    <n v="0"/>
  </r>
  <r>
    <x v="4"/>
    <x v="0"/>
    <x v="0"/>
    <x v="1"/>
    <n v="4550"/>
    <n v="4550"/>
  </r>
  <r>
    <x v="4"/>
    <x v="0"/>
    <x v="1"/>
    <x v="2"/>
    <n v="2751.15"/>
    <n v="2751.15"/>
  </r>
  <r>
    <x v="4"/>
    <x v="0"/>
    <x v="6"/>
    <x v="19"/>
    <n v="10000"/>
    <n v="10000"/>
  </r>
  <r>
    <x v="4"/>
    <x v="1"/>
    <x v="2"/>
    <x v="3"/>
    <n v="455"/>
    <n v="-455"/>
  </r>
  <r>
    <x v="4"/>
    <x v="1"/>
    <x v="2"/>
    <x v="4"/>
    <n v="277"/>
    <n v="-277"/>
  </r>
  <r>
    <x v="4"/>
    <x v="1"/>
    <x v="2"/>
    <x v="5"/>
    <n v="100"/>
    <n v="-100"/>
  </r>
  <r>
    <x v="4"/>
    <x v="1"/>
    <x v="2"/>
    <x v="6"/>
    <n v="52.09"/>
    <n v="-52.09"/>
  </r>
  <r>
    <x v="4"/>
    <x v="1"/>
    <x v="2"/>
    <x v="7"/>
    <n v="35"/>
    <n v="-35"/>
  </r>
  <r>
    <x v="4"/>
    <x v="1"/>
    <x v="2"/>
    <x v="8"/>
    <n v="119"/>
    <n v="-119"/>
  </r>
  <r>
    <x v="4"/>
    <x v="1"/>
    <x v="3"/>
    <x v="10"/>
    <n v="0"/>
    <n v="0"/>
  </r>
  <r>
    <x v="4"/>
    <x v="1"/>
    <x v="3"/>
    <x v="11"/>
    <n v="100"/>
    <n v="-100"/>
  </r>
  <r>
    <x v="4"/>
    <x v="1"/>
    <x v="3"/>
    <x v="12"/>
    <n v="100"/>
    <n v="-100"/>
  </r>
  <r>
    <x v="4"/>
    <x v="1"/>
    <x v="3"/>
    <x v="13"/>
    <n v="0"/>
    <n v="0"/>
  </r>
  <r>
    <x v="4"/>
    <x v="1"/>
    <x v="7"/>
    <x v="17"/>
    <n v="769.58"/>
    <n v="-769.58"/>
  </r>
  <r>
    <x v="4"/>
    <x v="1"/>
    <x v="4"/>
    <x v="14"/>
    <n v="1878.0900000000001"/>
    <n v="-1878.0900000000001"/>
  </r>
  <r>
    <x v="4"/>
    <x v="1"/>
    <x v="4"/>
    <x v="20"/>
    <n v="253.27"/>
    <n v="-253.27"/>
  </r>
  <r>
    <x v="4"/>
    <x v="1"/>
    <x v="4"/>
    <x v="15"/>
    <n v="6835.4699999999993"/>
    <n v="-6835.4699999999993"/>
  </r>
  <r>
    <x v="4"/>
    <x v="1"/>
    <x v="4"/>
    <x v="18"/>
    <n v="439.76"/>
    <n v="-439.76"/>
  </r>
  <r>
    <x v="4"/>
    <x v="1"/>
    <x v="5"/>
    <x v="21"/>
    <n v="89"/>
    <n v="-89"/>
  </r>
  <r>
    <x v="5"/>
    <x v="0"/>
    <x v="0"/>
    <x v="1"/>
    <n v="14222.09"/>
    <n v="14222.09"/>
  </r>
  <r>
    <x v="5"/>
    <x v="0"/>
    <x v="1"/>
    <x v="2"/>
    <n v="11281.15"/>
    <n v="11281.15"/>
  </r>
  <r>
    <x v="5"/>
    <x v="1"/>
    <x v="2"/>
    <x v="3"/>
    <n v="1422.2090000000001"/>
    <n v="-1422.2090000000001"/>
  </r>
  <r>
    <x v="5"/>
    <x v="1"/>
    <x v="2"/>
    <x v="4"/>
    <n v="277"/>
    <n v="-277"/>
  </r>
  <r>
    <x v="5"/>
    <x v="1"/>
    <x v="2"/>
    <x v="5"/>
    <n v="100"/>
    <n v="-100"/>
  </r>
  <r>
    <x v="5"/>
    <x v="1"/>
    <x v="2"/>
    <x v="6"/>
    <n v="78.81"/>
    <n v="-78.81"/>
  </r>
  <r>
    <x v="5"/>
    <x v="1"/>
    <x v="2"/>
    <x v="7"/>
    <n v="35"/>
    <n v="-35"/>
  </r>
  <r>
    <x v="5"/>
    <x v="1"/>
    <x v="2"/>
    <x v="8"/>
    <n v="111.76"/>
    <n v="-111.76"/>
  </r>
  <r>
    <x v="5"/>
    <x v="1"/>
    <x v="6"/>
    <x v="19"/>
    <n v="6460"/>
    <n v="-6460"/>
  </r>
  <r>
    <x v="5"/>
    <x v="1"/>
    <x v="3"/>
    <x v="10"/>
    <n v="0"/>
    <n v="0"/>
  </r>
  <r>
    <x v="5"/>
    <x v="1"/>
    <x v="3"/>
    <x v="11"/>
    <n v="100"/>
    <n v="-100"/>
  </r>
  <r>
    <x v="5"/>
    <x v="1"/>
    <x v="3"/>
    <x v="12"/>
    <n v="100"/>
    <n v="-100"/>
  </r>
  <r>
    <x v="5"/>
    <x v="1"/>
    <x v="3"/>
    <x v="13"/>
    <n v="0"/>
    <n v="0"/>
  </r>
  <r>
    <x v="5"/>
    <x v="1"/>
    <x v="4"/>
    <x v="14"/>
    <n v="1215"/>
    <n v="-1215"/>
  </r>
  <r>
    <x v="5"/>
    <x v="1"/>
    <x v="4"/>
    <x v="15"/>
    <n v="34.08"/>
    <n v="-34.08"/>
  </r>
  <r>
    <x v="5"/>
    <x v="1"/>
    <x v="5"/>
    <x v="22"/>
    <n v="155"/>
    <n v="-155"/>
  </r>
  <r>
    <x v="5"/>
    <x v="1"/>
    <x v="5"/>
    <x v="23"/>
    <n v="500"/>
    <n v="-500"/>
  </r>
  <r>
    <x v="5"/>
    <x v="1"/>
    <x v="5"/>
    <x v="24"/>
    <n v="320"/>
    <n v="-320"/>
  </r>
  <r>
    <x v="6"/>
    <x v="0"/>
    <x v="0"/>
    <x v="1"/>
    <n v="4880"/>
    <n v="4880"/>
  </r>
  <r>
    <x v="6"/>
    <x v="0"/>
    <x v="1"/>
    <x v="2"/>
    <n v="2900"/>
    <n v="2900"/>
  </r>
  <r>
    <x v="6"/>
    <x v="1"/>
    <x v="2"/>
    <x v="3"/>
    <n v="488"/>
    <n v="-488"/>
  </r>
  <r>
    <x v="6"/>
    <x v="1"/>
    <x v="2"/>
    <x v="4"/>
    <n v="412"/>
    <n v="-412"/>
  </r>
  <r>
    <x v="6"/>
    <x v="1"/>
    <x v="2"/>
    <x v="5"/>
    <n v="100"/>
    <n v="-100"/>
  </r>
  <r>
    <x v="6"/>
    <x v="1"/>
    <x v="2"/>
    <x v="6"/>
    <n v="35"/>
    <n v="-35"/>
  </r>
  <r>
    <x v="6"/>
    <x v="1"/>
    <x v="2"/>
    <x v="8"/>
    <n v="108.7"/>
    <n v="-108.7"/>
  </r>
  <r>
    <x v="6"/>
    <x v="1"/>
    <x v="2"/>
    <x v="9"/>
    <n v="59.9"/>
    <n v="-59.9"/>
  </r>
  <r>
    <x v="6"/>
    <x v="1"/>
    <x v="6"/>
    <x v="19"/>
    <n v="1105.8"/>
    <n v="-1105.8"/>
  </r>
  <r>
    <x v="6"/>
    <x v="1"/>
    <x v="3"/>
    <x v="10"/>
    <n v="0"/>
    <n v="0"/>
  </r>
  <r>
    <x v="6"/>
    <x v="1"/>
    <x v="3"/>
    <x v="11"/>
    <n v="100"/>
    <n v="-100"/>
  </r>
  <r>
    <x v="6"/>
    <x v="1"/>
    <x v="3"/>
    <x v="12"/>
    <n v="100"/>
    <n v="-100"/>
  </r>
  <r>
    <x v="6"/>
    <x v="1"/>
    <x v="4"/>
    <x v="14"/>
    <n v="0"/>
    <n v="0"/>
  </r>
  <r>
    <x v="6"/>
    <x v="1"/>
    <x v="4"/>
    <x v="15"/>
    <n v="1025"/>
    <n v="-1025"/>
  </r>
  <r>
    <x v="6"/>
    <x v="1"/>
    <x v="5"/>
    <x v="25"/>
    <n v="270"/>
    <n v="-270"/>
  </r>
  <r>
    <x v="7"/>
    <x v="0"/>
    <x v="0"/>
    <x v="1"/>
    <n v="4800"/>
    <n v="4800"/>
  </r>
  <r>
    <x v="7"/>
    <x v="0"/>
    <x v="1"/>
    <x v="2"/>
    <n v="3103.78"/>
    <n v="3103.78"/>
  </r>
  <r>
    <x v="7"/>
    <x v="1"/>
    <x v="2"/>
    <x v="3"/>
    <n v="480"/>
    <n v="-480"/>
  </r>
  <r>
    <x v="7"/>
    <x v="1"/>
    <x v="2"/>
    <x v="5"/>
    <n v="100"/>
    <n v="-100"/>
  </r>
  <r>
    <x v="7"/>
    <x v="1"/>
    <x v="2"/>
    <x v="6"/>
    <n v="30.32"/>
    <n v="-30.32"/>
  </r>
  <r>
    <x v="7"/>
    <x v="1"/>
    <x v="2"/>
    <x v="9"/>
    <n v="59.9"/>
    <n v="-59.9"/>
  </r>
  <r>
    <x v="7"/>
    <x v="1"/>
    <x v="2"/>
    <x v="8"/>
    <n v="118.93"/>
    <n v="-118.93"/>
  </r>
  <r>
    <x v="7"/>
    <x v="1"/>
    <x v="6"/>
    <x v="19"/>
    <n v="1110"/>
    <n v="-1110"/>
  </r>
  <r>
    <x v="7"/>
    <x v="1"/>
    <x v="3"/>
    <x v="10"/>
    <n v="0"/>
    <n v="0"/>
  </r>
  <r>
    <x v="7"/>
    <x v="1"/>
    <x v="3"/>
    <x v="11"/>
    <n v="100"/>
    <n v="-100"/>
  </r>
  <r>
    <x v="7"/>
    <x v="1"/>
    <x v="3"/>
    <x v="12"/>
    <n v="100"/>
    <n v="-100"/>
  </r>
  <r>
    <x v="7"/>
    <x v="1"/>
    <x v="9"/>
    <x v="26"/>
    <n v="0"/>
    <n v="0"/>
  </r>
  <r>
    <x v="7"/>
    <x v="1"/>
    <x v="4"/>
    <x v="14"/>
    <n v="0"/>
    <n v="0"/>
  </r>
  <r>
    <x v="7"/>
    <x v="1"/>
    <x v="4"/>
    <x v="15"/>
    <n v="900"/>
    <n v="-900"/>
  </r>
  <r>
    <x v="7"/>
    <x v="1"/>
    <x v="5"/>
    <x v="16"/>
    <n v="0"/>
    <n v="0"/>
  </r>
  <r>
    <x v="8"/>
    <x v="0"/>
    <x v="0"/>
    <x v="1"/>
    <n v="4880"/>
    <n v="4880"/>
  </r>
  <r>
    <x v="8"/>
    <x v="0"/>
    <x v="1"/>
    <x v="2"/>
    <n v="2900"/>
    <n v="2900"/>
  </r>
  <r>
    <x v="8"/>
    <x v="1"/>
    <x v="2"/>
    <x v="3"/>
    <n v="488"/>
    <n v="-488"/>
  </r>
  <r>
    <x v="8"/>
    <x v="1"/>
    <x v="2"/>
    <x v="4"/>
    <n v="0"/>
    <n v="0"/>
  </r>
  <r>
    <x v="8"/>
    <x v="1"/>
    <x v="2"/>
    <x v="5"/>
    <n v="100"/>
    <n v="-100"/>
  </r>
  <r>
    <x v="8"/>
    <x v="1"/>
    <x v="2"/>
    <x v="6"/>
    <n v="94.07"/>
    <n v="-94.07"/>
  </r>
  <r>
    <x v="8"/>
    <x v="1"/>
    <x v="2"/>
    <x v="9"/>
    <n v="59.9"/>
    <n v="-59.9"/>
  </r>
  <r>
    <x v="8"/>
    <x v="1"/>
    <x v="2"/>
    <x v="8"/>
    <n v="115.98"/>
    <n v="-115.98"/>
  </r>
  <r>
    <x v="8"/>
    <x v="1"/>
    <x v="6"/>
    <x v="19"/>
    <n v="1106.94"/>
    <n v="-1106.94"/>
  </r>
  <r>
    <x v="8"/>
    <x v="1"/>
    <x v="3"/>
    <x v="10"/>
    <n v="0"/>
    <n v="0"/>
  </r>
  <r>
    <x v="8"/>
    <x v="1"/>
    <x v="3"/>
    <x v="11"/>
    <n v="100"/>
    <n v="-100"/>
  </r>
  <r>
    <x v="8"/>
    <x v="1"/>
    <x v="3"/>
    <x v="12"/>
    <n v="100"/>
    <n v="-100"/>
  </r>
  <r>
    <x v="8"/>
    <x v="1"/>
    <x v="9"/>
    <x v="26"/>
    <n v="0"/>
    <n v="0"/>
  </r>
  <r>
    <x v="8"/>
    <x v="1"/>
    <x v="4"/>
    <x v="14"/>
    <n v="0"/>
    <n v="0"/>
  </r>
  <r>
    <x v="8"/>
    <x v="1"/>
    <x v="4"/>
    <x v="15"/>
    <n v="1550"/>
    <n v="-1550"/>
  </r>
  <r>
    <x v="8"/>
    <x v="1"/>
    <x v="5"/>
    <x v="16"/>
    <n v="0"/>
    <n v="0"/>
  </r>
  <r>
    <x v="9"/>
    <x v="0"/>
    <x v="0"/>
    <x v="1"/>
    <n v="4880"/>
    <n v="4880"/>
  </r>
  <r>
    <x v="9"/>
    <x v="0"/>
    <x v="1"/>
    <x v="2"/>
    <n v="3882"/>
    <n v="3882"/>
  </r>
  <r>
    <x v="9"/>
    <x v="1"/>
    <x v="2"/>
    <x v="3"/>
    <n v="488"/>
    <n v="-488"/>
  </r>
  <r>
    <x v="9"/>
    <x v="1"/>
    <x v="2"/>
    <x v="4"/>
    <n v="0"/>
    <n v="0"/>
  </r>
  <r>
    <x v="9"/>
    <x v="1"/>
    <x v="2"/>
    <x v="5"/>
    <n v="100"/>
    <n v="-100"/>
  </r>
  <r>
    <x v="9"/>
    <x v="1"/>
    <x v="2"/>
    <x v="6"/>
    <n v="43"/>
    <n v="-43"/>
  </r>
  <r>
    <x v="9"/>
    <x v="1"/>
    <x v="2"/>
    <x v="9"/>
    <n v="59.9"/>
    <n v="-59.9"/>
  </r>
  <r>
    <x v="9"/>
    <x v="1"/>
    <x v="2"/>
    <x v="8"/>
    <n v="109"/>
    <n v="-109"/>
  </r>
  <r>
    <x v="9"/>
    <x v="1"/>
    <x v="6"/>
    <x v="19"/>
    <n v="1110"/>
    <n v="-1110"/>
  </r>
  <r>
    <x v="9"/>
    <x v="1"/>
    <x v="3"/>
    <x v="10"/>
    <n v="0"/>
    <n v="0"/>
  </r>
  <r>
    <x v="9"/>
    <x v="1"/>
    <x v="3"/>
    <x v="11"/>
    <n v="100"/>
    <n v="-100"/>
  </r>
  <r>
    <x v="9"/>
    <x v="1"/>
    <x v="3"/>
    <x v="12"/>
    <n v="100"/>
    <n v="-100"/>
  </r>
  <r>
    <x v="9"/>
    <x v="1"/>
    <x v="9"/>
    <x v="26"/>
    <n v="0"/>
    <n v="0"/>
  </r>
  <r>
    <x v="9"/>
    <x v="1"/>
    <x v="4"/>
    <x v="14"/>
    <n v="336"/>
    <n v="-336"/>
  </r>
  <r>
    <x v="9"/>
    <x v="1"/>
    <x v="4"/>
    <x v="15"/>
    <n v="1361.21"/>
    <n v="-1361.21"/>
  </r>
  <r>
    <x v="9"/>
    <x v="1"/>
    <x v="5"/>
    <x v="27"/>
    <n v="48"/>
    <n v="-48"/>
  </r>
  <r>
    <x v="10"/>
    <x v="0"/>
    <x v="0"/>
    <x v="1"/>
    <n v="4880"/>
    <n v="4880"/>
  </r>
  <r>
    <x v="10"/>
    <x v="0"/>
    <x v="1"/>
    <x v="2"/>
    <n v="2900"/>
    <n v="2900"/>
  </r>
  <r>
    <x v="10"/>
    <x v="1"/>
    <x v="2"/>
    <x v="3"/>
    <n v="488"/>
    <n v="-488"/>
  </r>
  <r>
    <x v="10"/>
    <x v="1"/>
    <x v="2"/>
    <x v="5"/>
    <n v="100"/>
    <n v="-100"/>
  </r>
  <r>
    <x v="10"/>
    <x v="1"/>
    <x v="2"/>
    <x v="6"/>
    <n v="40"/>
    <n v="-40"/>
  </r>
  <r>
    <x v="10"/>
    <x v="1"/>
    <x v="2"/>
    <x v="9"/>
    <n v="59.9"/>
    <n v="-59.9"/>
  </r>
  <r>
    <x v="10"/>
    <x v="1"/>
    <x v="2"/>
    <x v="8"/>
    <n v="100"/>
    <n v="-100"/>
  </r>
  <r>
    <x v="10"/>
    <x v="1"/>
    <x v="3"/>
    <x v="10"/>
    <n v="0"/>
    <n v="0"/>
  </r>
  <r>
    <x v="10"/>
    <x v="1"/>
    <x v="3"/>
    <x v="11"/>
    <n v="100"/>
    <n v="-100"/>
  </r>
  <r>
    <x v="10"/>
    <x v="1"/>
    <x v="3"/>
    <x v="12"/>
    <n v="100"/>
    <n v="-100"/>
  </r>
  <r>
    <x v="10"/>
    <x v="1"/>
    <x v="9"/>
    <x v="28"/>
    <n v="0"/>
    <n v="0"/>
  </r>
  <r>
    <x v="10"/>
    <x v="1"/>
    <x v="4"/>
    <x v="14"/>
    <n v="0"/>
    <n v="0"/>
  </r>
  <r>
    <x v="10"/>
    <x v="1"/>
    <x v="4"/>
    <x v="15"/>
    <n v="755"/>
    <n v="-755"/>
  </r>
  <r>
    <x v="10"/>
    <x v="1"/>
    <x v="5"/>
    <x v="21"/>
    <n v="85.13"/>
    <n v="-85.13"/>
  </r>
  <r>
    <x v="11"/>
    <x v="1"/>
    <x v="5"/>
    <x v="27"/>
    <n v="48"/>
    <n v="-48"/>
  </r>
  <r>
    <x v="12"/>
    <x v="0"/>
    <x v="0"/>
    <x v="1"/>
    <n v="4880"/>
    <n v="4880"/>
  </r>
  <r>
    <x v="12"/>
    <x v="0"/>
    <x v="1"/>
    <x v="2"/>
    <n v="2900"/>
    <n v="2900"/>
  </r>
  <r>
    <x v="12"/>
    <x v="1"/>
    <x v="2"/>
    <x v="3"/>
    <n v="488"/>
    <n v="-488"/>
  </r>
  <r>
    <x v="12"/>
    <x v="1"/>
    <x v="2"/>
    <x v="5"/>
    <n v="100"/>
    <n v="-100"/>
  </r>
  <r>
    <x v="12"/>
    <x v="1"/>
    <x v="2"/>
    <x v="6"/>
    <n v="78.81"/>
    <n v="-78.81"/>
  </r>
  <r>
    <x v="12"/>
    <x v="1"/>
    <x v="2"/>
    <x v="9"/>
    <n v="59.9"/>
    <n v="-59.9"/>
  </r>
  <r>
    <x v="12"/>
    <x v="1"/>
    <x v="2"/>
    <x v="8"/>
    <n v="100"/>
    <n v="-100"/>
  </r>
  <r>
    <x v="12"/>
    <x v="1"/>
    <x v="3"/>
    <x v="10"/>
    <n v="0"/>
    <n v="0"/>
  </r>
  <r>
    <x v="12"/>
    <x v="1"/>
    <x v="3"/>
    <x v="11"/>
    <n v="100"/>
    <n v="-100"/>
  </r>
  <r>
    <x v="12"/>
    <x v="1"/>
    <x v="3"/>
    <x v="12"/>
    <n v="100"/>
    <n v="-100"/>
  </r>
  <r>
    <x v="12"/>
    <x v="1"/>
    <x v="9"/>
    <x v="28"/>
    <n v="1500"/>
    <n v="-1500"/>
  </r>
  <r>
    <x v="12"/>
    <x v="1"/>
    <x v="4"/>
    <x v="14"/>
    <n v="0"/>
    <n v="0"/>
  </r>
  <r>
    <x v="12"/>
    <x v="1"/>
    <x v="4"/>
    <x v="15"/>
    <n v="755"/>
    <n v="-755"/>
  </r>
  <r>
    <x v="12"/>
    <x v="1"/>
    <x v="5"/>
    <x v="27"/>
    <n v="48"/>
    <n v="-48"/>
  </r>
  <r>
    <x v="13"/>
    <x v="0"/>
    <x v="0"/>
    <x v="1"/>
    <n v="7200"/>
    <n v="7200"/>
  </r>
  <r>
    <x v="13"/>
    <x v="0"/>
    <x v="1"/>
    <x v="2"/>
    <n v="5300"/>
    <n v="5300"/>
  </r>
  <r>
    <x v="13"/>
    <x v="1"/>
    <x v="2"/>
    <x v="3"/>
    <n v="720"/>
    <n v="-720"/>
  </r>
  <r>
    <x v="13"/>
    <x v="1"/>
    <x v="2"/>
    <x v="5"/>
    <n v="100"/>
    <n v="-100"/>
  </r>
  <r>
    <x v="13"/>
    <x v="1"/>
    <x v="2"/>
    <x v="6"/>
    <n v="78.81"/>
    <n v="-78.81"/>
  </r>
  <r>
    <x v="13"/>
    <x v="1"/>
    <x v="2"/>
    <x v="9"/>
    <n v="59.9"/>
    <n v="-59.9"/>
  </r>
  <r>
    <x v="13"/>
    <x v="1"/>
    <x v="2"/>
    <x v="8"/>
    <n v="100"/>
    <n v="-100"/>
  </r>
  <r>
    <x v="13"/>
    <x v="1"/>
    <x v="3"/>
    <x v="10"/>
    <n v="0"/>
    <n v="0"/>
  </r>
  <r>
    <x v="13"/>
    <x v="1"/>
    <x v="3"/>
    <x v="11"/>
    <n v="100"/>
    <n v="-100"/>
  </r>
  <r>
    <x v="13"/>
    <x v="1"/>
    <x v="3"/>
    <x v="12"/>
    <n v="100"/>
    <n v="-100"/>
  </r>
  <r>
    <x v="13"/>
    <x v="1"/>
    <x v="9"/>
    <x v="28"/>
    <n v="3400"/>
    <n v="-3400"/>
  </r>
  <r>
    <x v="13"/>
    <x v="1"/>
    <x v="4"/>
    <x v="14"/>
    <n v="0"/>
    <n v="0"/>
  </r>
  <r>
    <x v="13"/>
    <x v="1"/>
    <x v="4"/>
    <x v="15"/>
    <n v="755"/>
    <n v="-755"/>
  </r>
  <r>
    <x v="13"/>
    <x v="1"/>
    <x v="5"/>
    <x v="27"/>
    <n v="48"/>
    <n v="-48"/>
  </r>
  <r>
    <x v="14"/>
    <x v="0"/>
    <x v="0"/>
    <x v="1"/>
    <n v="6880"/>
    <n v="6880"/>
  </r>
  <r>
    <x v="14"/>
    <x v="0"/>
    <x v="1"/>
    <x v="2"/>
    <n v="3800"/>
    <n v="3800"/>
  </r>
  <r>
    <x v="14"/>
    <x v="1"/>
    <x v="2"/>
    <x v="3"/>
    <n v="688"/>
    <n v="-688"/>
  </r>
  <r>
    <x v="14"/>
    <x v="1"/>
    <x v="2"/>
    <x v="5"/>
    <n v="100"/>
    <n v="-100"/>
  </r>
  <r>
    <x v="14"/>
    <x v="1"/>
    <x v="2"/>
    <x v="6"/>
    <n v="78.81"/>
    <n v="-78.81"/>
  </r>
  <r>
    <x v="14"/>
    <x v="1"/>
    <x v="2"/>
    <x v="9"/>
    <n v="59.9"/>
    <n v="-59.9"/>
  </r>
  <r>
    <x v="14"/>
    <x v="1"/>
    <x v="2"/>
    <x v="8"/>
    <n v="100"/>
    <n v="-100"/>
  </r>
  <r>
    <x v="14"/>
    <x v="1"/>
    <x v="3"/>
    <x v="10"/>
    <n v="0"/>
    <n v="0"/>
  </r>
  <r>
    <x v="14"/>
    <x v="1"/>
    <x v="3"/>
    <x v="11"/>
    <n v="100"/>
    <n v="-100"/>
  </r>
  <r>
    <x v="14"/>
    <x v="1"/>
    <x v="3"/>
    <x v="12"/>
    <n v="100"/>
    <n v="-100"/>
  </r>
  <r>
    <x v="14"/>
    <x v="1"/>
    <x v="9"/>
    <x v="28"/>
    <n v="1800"/>
    <n v="-1800"/>
  </r>
  <r>
    <x v="14"/>
    <x v="1"/>
    <x v="4"/>
    <x v="14"/>
    <n v="0"/>
    <n v="0"/>
  </r>
  <r>
    <x v="14"/>
    <x v="1"/>
    <x v="4"/>
    <x v="15"/>
    <n v="59.9"/>
    <n v="-59.9"/>
  </r>
  <r>
    <x v="14"/>
    <x v="1"/>
    <x v="5"/>
    <x v="27"/>
    <n v="48"/>
    <n v="-48"/>
  </r>
  <r>
    <x v="1"/>
    <x v="2"/>
    <x v="8"/>
    <x v="0"/>
    <m/>
    <m/>
  </r>
  <r>
    <x v="1"/>
    <x v="2"/>
    <x v="8"/>
    <x v="0"/>
    <m/>
    <m/>
  </r>
  <r>
    <x v="1"/>
    <x v="2"/>
    <x v="8"/>
    <x v="0"/>
    <m/>
    <m/>
  </r>
  <r>
    <x v="1"/>
    <x v="2"/>
    <x v="8"/>
    <x v="0"/>
    <m/>
    <m/>
  </r>
  <r>
    <x v="1"/>
    <x v="2"/>
    <x v="8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Y2:AJ17" firstHeaderRow="1" firstDataRow="2" firstDataCol="1"/>
  <pivotFields count="6"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Col" showAll="0" defaultSubtotal="0">
      <items count="10">
        <item x="3"/>
        <item x="7"/>
        <item x="1"/>
        <item x="2"/>
        <item x="6"/>
        <item x="5"/>
        <item x="0"/>
        <item x="4"/>
        <item x="9"/>
        <item x="8"/>
      </items>
    </pivotField>
    <pivotField showAll="0" defaultSubtotal="0"/>
    <pivotField dataField="1" showAll="0" defaultSubtotal="0"/>
    <pivotField showAll="0" defaultSubtota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a de R$ 4.000,00" fld="4" baseField="0" baseItem="0"/>
  </dataFields>
  <formats count="1">
    <format dxfId="361">
      <pivotArea outline="0" collapsedLevelsAreSubtotals="1" fieldPosition="0"/>
    </format>
  </formats>
  <chartFormats count="19">
    <chartFormat chart="0" format="10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14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15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16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17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18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4" minRefreshableVersion="3" showCalcMbrs="0" useAutoFormatting="1" itemPrintTitles="1" createdVersion="3" indent="0" outline="1" outlineData="1" multipleFieldFilters="0" chartFormat="1" rowHeaderCaption=" ">
  <location ref="B3:O14" firstHeaderRow="1" firstDataRow="2" firstDataCol="1"/>
  <pivotFields count="6">
    <pivotField axis="axisCol" showAll="0">
      <items count="16">
        <item n="Jan/12" x="2"/>
        <item n="Fev/12" x="3"/>
        <item n="Mar/12" x="4"/>
        <item n="Abr/12" x="5"/>
        <item n="Mai/12" x="6"/>
        <item n="Jun/12" x="7"/>
        <item n="Jul/12" x="8"/>
        <item n="Ago/12" x="9"/>
        <item n="Set/12" x="10"/>
        <item n="Out/12" x="12"/>
        <item n="Nov/12" x="13"/>
        <item n="Dez/12" x="14"/>
        <item h="1" x="1"/>
        <item x="0"/>
        <item h="1" x="11"/>
        <item t="default"/>
      </items>
    </pivotField>
    <pivotField axis="axisRow" showAll="0">
      <items count="4">
        <item sd="0" x="0"/>
        <item x="1"/>
        <item sd="0" x="2"/>
        <item t="default" sd="0"/>
      </items>
    </pivotField>
    <pivotField axis="axisRow" showAll="0">
      <items count="11">
        <item sd="0" x="4"/>
        <item sd="0" x="6"/>
        <item sd="0" x="2"/>
        <item sd="0" x="3"/>
        <item sd="0" x="7"/>
        <item h="1" sd="0" x="0"/>
        <item sd="0" x="1"/>
        <item sd="0" x="5"/>
        <item h="1" sd="0" x="8"/>
        <item sd="0" x="9"/>
        <item t="default"/>
      </items>
    </pivotField>
    <pivotField axis="axisRow" showAll="0">
      <items count="33">
        <item x="6"/>
        <item m="1" x="31"/>
        <item x="14"/>
        <item x="15"/>
        <item x="5"/>
        <item x="28"/>
        <item x="7"/>
        <item x="8"/>
        <item x="11"/>
        <item x="12"/>
        <item x="3"/>
        <item x="19"/>
        <item x="23"/>
        <item x="4"/>
        <item m="1" x="29"/>
        <item x="9"/>
        <item x="20"/>
        <item x="18"/>
        <item x="21"/>
        <item x="17"/>
        <item x="13"/>
        <item x="22"/>
        <item x="10"/>
        <item x="1"/>
        <item x="2"/>
        <item x="25"/>
        <item x="24"/>
        <item x="16"/>
        <item h="1" x="0"/>
        <item m="1" x="30"/>
        <item x="26"/>
        <item x="27"/>
        <item t="default"/>
      </items>
    </pivotField>
    <pivotField showAll="0"/>
    <pivotField dataField="1" showAll="0"/>
  </pivotFields>
  <rowFields count="3">
    <field x="1"/>
    <field x="2"/>
    <field x="3"/>
  </rowFields>
  <rowItems count="10">
    <i>
      <x/>
    </i>
    <i>
      <x v="1"/>
    </i>
    <i r="1">
      <x/>
    </i>
    <i r="1">
      <x v="1"/>
    </i>
    <i r="1">
      <x v="2"/>
    </i>
    <i r="1">
      <x v="3"/>
    </i>
    <i r="1">
      <x v="4"/>
    </i>
    <i r="1">
      <x v="7"/>
    </i>
    <i r="1">
      <x v="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a de Valor (-)" fld="5" baseField="0" baseItem="0"/>
  </dataFields>
  <formats count="9">
    <format dxfId="370">
      <pivotArea outline="0" collapsedLevelsAreSubtotals="1" fieldPosition="0"/>
    </format>
    <format dxfId="369">
      <pivotArea dataOnly="0" labelOnly="1" fieldPosition="0">
        <references count="1"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68">
      <pivotArea dataOnly="0" labelOnly="1" grandRow="1" outline="0" fieldPosition="0"/>
    </format>
    <format dxfId="367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366">
      <pivotArea dataOnly="0" labelOnly="1" fieldPosition="0">
        <references count="1">
          <reference field="0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grandCol="1" outline="0" fieldPosition="0"/>
    </format>
    <format dxfId="364">
      <pivotArea collapsedLevelsAreSubtotals="1" fieldPosition="0">
        <references count="3">
          <reference field="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363">
      <pivotArea collapsedLevelsAreSubtotals="1" fieldPosition="0">
        <references count="3">
          <reference field="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" count="1" selected="0">
            <x v="0"/>
          </reference>
          <reference field="2" count="1">
            <x v="6"/>
          </reference>
        </references>
      </pivotArea>
    </format>
    <format dxfId="362">
      <pivotArea collapsedLevelsAreSubtotals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6"/>
          </reference>
          <reference field="3" count="1">
            <x v="24"/>
          </reference>
        </references>
      </pivotArea>
    </format>
  </formats>
  <pivotTableStyleInfo name="PivotStyleDark13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7"/>
  <sheetViews>
    <sheetView showGridLines="0" topLeftCell="B1" workbookViewId="0">
      <selection activeCell="C24" sqref="C24"/>
    </sheetView>
  </sheetViews>
  <sheetFormatPr defaultRowHeight="12.75" x14ac:dyDescent="0.2"/>
  <cols>
    <col min="2" max="2" width="18" customWidth="1"/>
    <col min="3" max="3" width="9.85546875" customWidth="1"/>
    <col min="4" max="4" width="9" bestFit="1" customWidth="1"/>
    <col min="5" max="6" width="10" bestFit="1" customWidth="1"/>
    <col min="7" max="8" width="9" customWidth="1"/>
    <col min="9" max="10" width="9" bestFit="1" customWidth="1"/>
    <col min="11" max="11" width="9" customWidth="1"/>
    <col min="12" max="14" width="9" bestFit="1" customWidth="1"/>
    <col min="15" max="15" width="11.140625" bestFit="1" customWidth="1"/>
    <col min="16" max="16" width="10.85546875" bestFit="1" customWidth="1"/>
    <col min="25" max="26" width="20" customWidth="1"/>
    <col min="27" max="27" width="11.7109375" customWidth="1"/>
    <col min="28" max="28" width="9.42578125" customWidth="1"/>
    <col min="29" max="29" width="13.5703125" customWidth="1"/>
    <col min="30" max="30" width="9" customWidth="1"/>
    <col min="31" max="31" width="13.140625" customWidth="1"/>
    <col min="32" max="32" width="15.140625" customWidth="1"/>
    <col min="33" max="33" width="9.42578125" customWidth="1"/>
    <col min="34" max="34" width="7" customWidth="1"/>
    <col min="35" max="35" width="11.140625" bestFit="1" customWidth="1"/>
    <col min="36" max="36" width="10.85546875" bestFit="1" customWidth="1"/>
  </cols>
  <sheetData>
    <row r="2" spans="2:36" x14ac:dyDescent="0.2">
      <c r="Y2" s="105" t="s">
        <v>157</v>
      </c>
      <c r="Z2" s="105" t="s">
        <v>136</v>
      </c>
    </row>
    <row r="3" spans="2:36" hidden="1" x14ac:dyDescent="0.2">
      <c r="B3" s="105" t="s">
        <v>156</v>
      </c>
      <c r="C3" s="105" t="s">
        <v>136</v>
      </c>
      <c r="Y3" s="105" t="s">
        <v>134</v>
      </c>
      <c r="Z3" t="s">
        <v>10</v>
      </c>
      <c r="AA3" t="s">
        <v>123</v>
      </c>
      <c r="AB3" t="s">
        <v>38</v>
      </c>
      <c r="AC3" t="s">
        <v>41</v>
      </c>
      <c r="AD3" t="s">
        <v>120</v>
      </c>
      <c r="AE3" t="s">
        <v>128</v>
      </c>
      <c r="AF3" t="s">
        <v>129</v>
      </c>
      <c r="AG3" t="s">
        <v>40</v>
      </c>
      <c r="AH3" t="s">
        <v>138</v>
      </c>
      <c r="AI3" t="s">
        <v>126</v>
      </c>
      <c r="AJ3" t="s">
        <v>135</v>
      </c>
    </row>
    <row r="4" spans="2:36" x14ac:dyDescent="0.2">
      <c r="B4" s="105" t="s">
        <v>154</v>
      </c>
      <c r="C4" s="116" t="s">
        <v>139</v>
      </c>
      <c r="D4" s="116" t="s">
        <v>140</v>
      </c>
      <c r="E4" s="116" t="s">
        <v>141</v>
      </c>
      <c r="F4" s="116" t="s">
        <v>142</v>
      </c>
      <c r="G4" s="116" t="s">
        <v>143</v>
      </c>
      <c r="H4" s="116" t="s">
        <v>144</v>
      </c>
      <c r="I4" s="116" t="s">
        <v>145</v>
      </c>
      <c r="J4" s="116" t="s">
        <v>146</v>
      </c>
      <c r="K4" s="116" t="s">
        <v>147</v>
      </c>
      <c r="L4" s="116" t="s">
        <v>148</v>
      </c>
      <c r="M4" s="116" t="s">
        <v>149</v>
      </c>
      <c r="N4" s="116" t="s">
        <v>150</v>
      </c>
      <c r="O4" s="116" t="s">
        <v>159</v>
      </c>
      <c r="Y4" s="112">
        <v>40909</v>
      </c>
      <c r="Z4" s="114">
        <v>2091.5300000000002</v>
      </c>
      <c r="AA4" s="114"/>
      <c r="AB4" s="114">
        <v>930</v>
      </c>
      <c r="AC4" s="114">
        <v>200</v>
      </c>
      <c r="AD4" s="114"/>
      <c r="AE4" s="114"/>
      <c r="AF4" s="114">
        <v>3653</v>
      </c>
      <c r="AG4" s="114">
        <v>0</v>
      </c>
      <c r="AH4" s="114"/>
      <c r="AI4" s="114"/>
      <c r="AJ4" s="114">
        <v>6874.5300000000007</v>
      </c>
    </row>
    <row r="5" spans="2:36" x14ac:dyDescent="0.2">
      <c r="B5" s="98" t="s">
        <v>151</v>
      </c>
      <c r="C5" s="114">
        <v>3653</v>
      </c>
      <c r="D5" s="114">
        <v>2642.48</v>
      </c>
      <c r="E5" s="114">
        <v>12751.15</v>
      </c>
      <c r="F5" s="114">
        <v>11281.15</v>
      </c>
      <c r="G5" s="114">
        <v>2900</v>
      </c>
      <c r="H5" s="114">
        <v>3103.78</v>
      </c>
      <c r="I5" s="114">
        <v>2900</v>
      </c>
      <c r="J5" s="114">
        <v>3882</v>
      </c>
      <c r="K5" s="114">
        <v>2900</v>
      </c>
      <c r="L5" s="114">
        <v>2900</v>
      </c>
      <c r="M5" s="114">
        <v>5300</v>
      </c>
      <c r="N5" s="114">
        <v>3800</v>
      </c>
      <c r="O5" s="114">
        <v>58013.56</v>
      </c>
      <c r="Y5" s="112">
        <v>40940</v>
      </c>
      <c r="Z5" s="114">
        <v>1696.09</v>
      </c>
      <c r="AA5" s="114"/>
      <c r="AB5" s="114">
        <v>1322.1599999999999</v>
      </c>
      <c r="AC5" s="114">
        <v>200</v>
      </c>
      <c r="AD5" s="114">
        <v>493.18</v>
      </c>
      <c r="AE5" s="114">
        <v>4000</v>
      </c>
      <c r="AF5" s="114">
        <v>2642.48</v>
      </c>
      <c r="AG5" s="114">
        <v>0</v>
      </c>
      <c r="AH5" s="114"/>
      <c r="AI5" s="114"/>
      <c r="AJ5" s="114">
        <v>10353.91</v>
      </c>
    </row>
    <row r="6" spans="2:36" x14ac:dyDescent="0.2">
      <c r="B6" s="98" t="s">
        <v>152</v>
      </c>
      <c r="C6" s="114">
        <v>-3221.53</v>
      </c>
      <c r="D6" s="114">
        <v>-3711.43</v>
      </c>
      <c r="E6" s="114">
        <v>-11503.26</v>
      </c>
      <c r="F6" s="114">
        <v>-10908.859</v>
      </c>
      <c r="G6" s="114">
        <v>-3804.4000000000005</v>
      </c>
      <c r="H6" s="114">
        <v>-2999.15</v>
      </c>
      <c r="I6" s="114">
        <v>-3714.89</v>
      </c>
      <c r="J6" s="114">
        <v>-3855.11</v>
      </c>
      <c r="K6" s="114">
        <v>-1828.0300000000002</v>
      </c>
      <c r="L6" s="114">
        <v>-3329.71</v>
      </c>
      <c r="M6" s="114">
        <v>-5461.71</v>
      </c>
      <c r="N6" s="114">
        <v>-3134.61</v>
      </c>
      <c r="O6" s="114">
        <v>-57472.688999999998</v>
      </c>
      <c r="Y6" s="112">
        <v>40969</v>
      </c>
      <c r="Z6" s="114">
        <v>9406.59</v>
      </c>
      <c r="AA6" s="114">
        <v>10000</v>
      </c>
      <c r="AB6" s="114">
        <v>1038.0900000000001</v>
      </c>
      <c r="AC6" s="114">
        <v>200</v>
      </c>
      <c r="AD6" s="114">
        <v>769.58</v>
      </c>
      <c r="AE6" s="114">
        <v>4550</v>
      </c>
      <c r="AF6" s="114">
        <v>2751.15</v>
      </c>
      <c r="AG6" s="114">
        <v>89</v>
      </c>
      <c r="AH6" s="114"/>
      <c r="AI6" s="114"/>
      <c r="AJ6" s="114">
        <v>28804.410000000003</v>
      </c>
    </row>
    <row r="7" spans="2:36" x14ac:dyDescent="0.2">
      <c r="B7" s="115" t="s">
        <v>10</v>
      </c>
      <c r="C7" s="114">
        <v>-2091.5300000000002</v>
      </c>
      <c r="D7" s="114">
        <v>-1696.09</v>
      </c>
      <c r="E7" s="114">
        <v>-9406.59</v>
      </c>
      <c r="F7" s="114">
        <v>-1249.08</v>
      </c>
      <c r="G7" s="114">
        <v>-1025</v>
      </c>
      <c r="H7" s="114">
        <v>-900</v>
      </c>
      <c r="I7" s="114">
        <v>-1550</v>
      </c>
      <c r="J7" s="114">
        <v>-1697.21</v>
      </c>
      <c r="K7" s="114">
        <v>-755</v>
      </c>
      <c r="L7" s="114">
        <v>-755</v>
      </c>
      <c r="M7" s="114">
        <v>-755</v>
      </c>
      <c r="N7" s="114">
        <v>-59.9</v>
      </c>
      <c r="O7" s="114">
        <v>-21940.400000000001</v>
      </c>
      <c r="Y7" s="112">
        <v>41000</v>
      </c>
      <c r="Z7" s="114">
        <v>1249.08</v>
      </c>
      <c r="AA7" s="114">
        <v>6460</v>
      </c>
      <c r="AB7" s="114">
        <v>2024.779</v>
      </c>
      <c r="AC7" s="114">
        <v>200</v>
      </c>
      <c r="AD7" s="114"/>
      <c r="AE7" s="114">
        <v>14222.09</v>
      </c>
      <c r="AF7" s="114">
        <v>11281.15</v>
      </c>
      <c r="AG7" s="114">
        <v>975</v>
      </c>
      <c r="AH7" s="114"/>
      <c r="AI7" s="114"/>
      <c r="AJ7" s="114">
        <v>36412.099000000002</v>
      </c>
    </row>
    <row r="8" spans="2:36" x14ac:dyDescent="0.2">
      <c r="B8" s="115" t="s">
        <v>123</v>
      </c>
      <c r="C8" s="114"/>
      <c r="D8" s="114"/>
      <c r="E8" s="114"/>
      <c r="F8" s="114">
        <v>-6460</v>
      </c>
      <c r="G8" s="114">
        <v>-1105.8</v>
      </c>
      <c r="H8" s="114">
        <v>-1110</v>
      </c>
      <c r="I8" s="114">
        <v>-1106.94</v>
      </c>
      <c r="J8" s="114">
        <v>-1110</v>
      </c>
      <c r="K8" s="114"/>
      <c r="L8" s="114"/>
      <c r="M8" s="114"/>
      <c r="N8" s="114"/>
      <c r="O8" s="114">
        <v>-10892.74</v>
      </c>
      <c r="Y8" s="112">
        <v>41030</v>
      </c>
      <c r="Z8" s="114">
        <v>1025</v>
      </c>
      <c r="AA8" s="114">
        <v>1105.8</v>
      </c>
      <c r="AB8" s="114">
        <v>1203.6000000000001</v>
      </c>
      <c r="AC8" s="114">
        <v>200</v>
      </c>
      <c r="AD8" s="114"/>
      <c r="AE8" s="114">
        <v>4880</v>
      </c>
      <c r="AF8" s="114">
        <v>2900</v>
      </c>
      <c r="AG8" s="114">
        <v>270</v>
      </c>
      <c r="AH8" s="114"/>
      <c r="AI8" s="114"/>
      <c r="AJ8" s="114">
        <v>11584.400000000001</v>
      </c>
    </row>
    <row r="9" spans="2:36" x14ac:dyDescent="0.2">
      <c r="B9" s="115" t="s">
        <v>38</v>
      </c>
      <c r="C9" s="114">
        <v>-930</v>
      </c>
      <c r="D9" s="114">
        <v>-1322.1599999999999</v>
      </c>
      <c r="E9" s="114">
        <v>-1038.0900000000001</v>
      </c>
      <c r="F9" s="114">
        <v>-2024.779</v>
      </c>
      <c r="G9" s="114">
        <v>-1203.6000000000001</v>
      </c>
      <c r="H9" s="114">
        <v>-789.15000000000009</v>
      </c>
      <c r="I9" s="114">
        <v>-857.94999999999993</v>
      </c>
      <c r="J9" s="114">
        <v>-799.9</v>
      </c>
      <c r="K9" s="114">
        <v>-787.9</v>
      </c>
      <c r="L9" s="114">
        <v>-826.70999999999992</v>
      </c>
      <c r="M9" s="114">
        <v>-1058.71</v>
      </c>
      <c r="N9" s="114">
        <v>-1026.71</v>
      </c>
      <c r="O9" s="114">
        <v>-12665.659</v>
      </c>
      <c r="Y9" s="112">
        <v>41061</v>
      </c>
      <c r="Z9" s="114">
        <v>900</v>
      </c>
      <c r="AA9" s="114">
        <v>1110</v>
      </c>
      <c r="AB9" s="114">
        <v>789.15000000000009</v>
      </c>
      <c r="AC9" s="114">
        <v>200</v>
      </c>
      <c r="AD9" s="114"/>
      <c r="AE9" s="114">
        <v>4800</v>
      </c>
      <c r="AF9" s="114">
        <v>3103.78</v>
      </c>
      <c r="AG9" s="114">
        <v>0</v>
      </c>
      <c r="AH9" s="114"/>
      <c r="AI9" s="114">
        <v>0</v>
      </c>
      <c r="AJ9" s="114">
        <v>10902.93</v>
      </c>
    </row>
    <row r="10" spans="2:36" x14ac:dyDescent="0.2">
      <c r="B10" s="115" t="s">
        <v>41</v>
      </c>
      <c r="C10" s="114">
        <v>-200</v>
      </c>
      <c r="D10" s="114">
        <v>-200</v>
      </c>
      <c r="E10" s="114">
        <v>-200</v>
      </c>
      <c r="F10" s="114">
        <v>-200</v>
      </c>
      <c r="G10" s="114">
        <v>-200</v>
      </c>
      <c r="H10" s="114">
        <v>-200</v>
      </c>
      <c r="I10" s="114">
        <v>-200</v>
      </c>
      <c r="J10" s="114">
        <v>-200</v>
      </c>
      <c r="K10" s="114">
        <v>-200</v>
      </c>
      <c r="L10" s="114">
        <v>-200</v>
      </c>
      <c r="M10" s="114">
        <v>-200</v>
      </c>
      <c r="N10" s="114">
        <v>-200</v>
      </c>
      <c r="O10" s="114">
        <v>-2400</v>
      </c>
      <c r="Y10" s="112">
        <v>41091</v>
      </c>
      <c r="Z10" s="114">
        <v>1400.22</v>
      </c>
      <c r="AA10" s="114">
        <v>1023.75</v>
      </c>
      <c r="AB10" s="114">
        <v>901.96999999999991</v>
      </c>
      <c r="AC10" s="114">
        <v>200</v>
      </c>
      <c r="AD10" s="114"/>
      <c r="AE10" s="114">
        <v>4880</v>
      </c>
      <c r="AF10" s="114">
        <v>2900</v>
      </c>
      <c r="AG10" s="114">
        <v>0</v>
      </c>
      <c r="AH10" s="114"/>
      <c r="AI10" s="114">
        <v>0</v>
      </c>
      <c r="AJ10" s="114">
        <v>11305.94</v>
      </c>
    </row>
    <row r="11" spans="2:36" x14ac:dyDescent="0.2">
      <c r="B11" s="115" t="s">
        <v>120</v>
      </c>
      <c r="C11" s="114"/>
      <c r="D11" s="114">
        <v>-493.18</v>
      </c>
      <c r="E11" s="114">
        <v>-769.58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>
        <v>-1262.76</v>
      </c>
      <c r="Y11" s="112">
        <v>41122</v>
      </c>
      <c r="Z11" s="114">
        <v>755</v>
      </c>
      <c r="AA11" s="114">
        <v>991.05</v>
      </c>
      <c r="AB11" s="114">
        <v>886.70999999999992</v>
      </c>
      <c r="AC11" s="114">
        <v>200</v>
      </c>
      <c r="AD11" s="114"/>
      <c r="AE11" s="114">
        <v>4880</v>
      </c>
      <c r="AF11" s="114">
        <v>2900</v>
      </c>
      <c r="AG11" s="114">
        <v>0</v>
      </c>
      <c r="AH11" s="114"/>
      <c r="AI11" s="114">
        <v>0</v>
      </c>
      <c r="AJ11" s="114">
        <v>10612.76</v>
      </c>
    </row>
    <row r="12" spans="2:36" x14ac:dyDescent="0.2">
      <c r="B12" s="115" t="s">
        <v>40</v>
      </c>
      <c r="C12" s="114">
        <v>0</v>
      </c>
      <c r="D12" s="114">
        <v>0</v>
      </c>
      <c r="E12" s="114">
        <v>-89</v>
      </c>
      <c r="F12" s="114">
        <v>-975</v>
      </c>
      <c r="G12" s="114">
        <v>-270</v>
      </c>
      <c r="H12" s="114">
        <v>0</v>
      </c>
      <c r="I12" s="114">
        <v>0</v>
      </c>
      <c r="J12" s="114">
        <v>-48</v>
      </c>
      <c r="K12" s="114">
        <v>-85.13</v>
      </c>
      <c r="L12" s="114">
        <v>-48</v>
      </c>
      <c r="M12" s="114">
        <v>-48</v>
      </c>
      <c r="N12" s="114">
        <v>-48</v>
      </c>
      <c r="O12" s="114">
        <v>-1611.13</v>
      </c>
      <c r="Y12" s="112">
        <v>41153</v>
      </c>
      <c r="Z12" s="114">
        <v>755</v>
      </c>
      <c r="AA12" s="114"/>
      <c r="AB12" s="114">
        <v>787.9</v>
      </c>
      <c r="AC12" s="114">
        <v>200</v>
      </c>
      <c r="AD12" s="114"/>
      <c r="AE12" s="114">
        <v>4880</v>
      </c>
      <c r="AF12" s="114">
        <v>2900</v>
      </c>
      <c r="AG12" s="114">
        <v>0</v>
      </c>
      <c r="AH12" s="114"/>
      <c r="AI12" s="114">
        <v>0</v>
      </c>
      <c r="AJ12" s="114">
        <v>9522.9</v>
      </c>
    </row>
    <row r="13" spans="2:36" x14ac:dyDescent="0.2">
      <c r="B13" s="106" t="s">
        <v>126</v>
      </c>
      <c r="C13" s="114"/>
      <c r="D13" s="114"/>
      <c r="E13" s="114"/>
      <c r="F13" s="114"/>
      <c r="G13" s="114"/>
      <c r="H13" s="114">
        <v>0</v>
      </c>
      <c r="I13" s="114">
        <v>0</v>
      </c>
      <c r="J13" s="114">
        <v>0</v>
      </c>
      <c r="K13" s="114">
        <v>0</v>
      </c>
      <c r="L13" s="114">
        <v>-1500</v>
      </c>
      <c r="M13" s="114">
        <v>-3400</v>
      </c>
      <c r="N13" s="114">
        <v>-1800</v>
      </c>
      <c r="O13" s="114">
        <v>-6700</v>
      </c>
      <c r="Y13" s="112">
        <v>41183</v>
      </c>
      <c r="Z13" s="114">
        <v>755</v>
      </c>
      <c r="AA13" s="114"/>
      <c r="AB13" s="114">
        <v>826.70999999999992</v>
      </c>
      <c r="AC13" s="114">
        <v>200</v>
      </c>
      <c r="AD13" s="114"/>
      <c r="AE13" s="114">
        <v>4880</v>
      </c>
      <c r="AF13" s="114">
        <v>2900</v>
      </c>
      <c r="AG13" s="114">
        <v>0</v>
      </c>
      <c r="AH13" s="114"/>
      <c r="AI13" s="114">
        <v>1500</v>
      </c>
      <c r="AJ13" s="114">
        <v>11061.71</v>
      </c>
    </row>
    <row r="14" spans="2:36" x14ac:dyDescent="0.2">
      <c r="B14" s="113" t="s">
        <v>159</v>
      </c>
      <c r="C14" s="114">
        <v>431.4699999999998</v>
      </c>
      <c r="D14" s="114">
        <v>-1068.9499999999998</v>
      </c>
      <c r="E14" s="114">
        <v>1247.8899999999994</v>
      </c>
      <c r="F14" s="114">
        <v>372.29099999999971</v>
      </c>
      <c r="G14" s="114">
        <v>-904.40000000000009</v>
      </c>
      <c r="H14" s="114">
        <v>104.63000000000011</v>
      </c>
      <c r="I14" s="114">
        <v>-814.89</v>
      </c>
      <c r="J14" s="114">
        <v>26.889999999999986</v>
      </c>
      <c r="K14" s="114">
        <v>1071.9699999999998</v>
      </c>
      <c r="L14" s="114">
        <v>-429.71000000000004</v>
      </c>
      <c r="M14" s="114">
        <v>-161.71000000000004</v>
      </c>
      <c r="N14" s="114">
        <v>665.38999999999987</v>
      </c>
      <c r="O14" s="114">
        <v>540.87099999999828</v>
      </c>
      <c r="Y14" s="112">
        <v>41214</v>
      </c>
      <c r="Z14" s="114">
        <v>755</v>
      </c>
      <c r="AA14" s="114"/>
      <c r="AB14" s="114">
        <v>1058.71</v>
      </c>
      <c r="AC14" s="114">
        <v>200</v>
      </c>
      <c r="AD14" s="114"/>
      <c r="AE14" s="114">
        <v>7200</v>
      </c>
      <c r="AF14" s="114">
        <v>5300</v>
      </c>
      <c r="AG14" s="114">
        <v>0</v>
      </c>
      <c r="AH14" s="114"/>
      <c r="AI14" s="114">
        <v>3400</v>
      </c>
      <c r="AJ14" s="114">
        <v>17913.71</v>
      </c>
    </row>
    <row r="15" spans="2:36" x14ac:dyDescent="0.2">
      <c r="Y15" s="112">
        <v>41244</v>
      </c>
      <c r="Z15" s="114">
        <v>59.9</v>
      </c>
      <c r="AA15" s="114"/>
      <c r="AB15" s="114">
        <v>1026.71</v>
      </c>
      <c r="AC15" s="114">
        <v>200</v>
      </c>
      <c r="AD15" s="114"/>
      <c r="AE15" s="114">
        <v>6880</v>
      </c>
      <c r="AF15" s="114">
        <v>3800</v>
      </c>
      <c r="AG15" s="114">
        <v>0</v>
      </c>
      <c r="AH15" s="114"/>
      <c r="AI15" s="114">
        <v>1800</v>
      </c>
      <c r="AJ15" s="114">
        <v>13766.61</v>
      </c>
    </row>
    <row r="16" spans="2:36" x14ac:dyDescent="0.2">
      <c r="Y16" s="98" t="s">
        <v>138</v>
      </c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</row>
    <row r="17" spans="25:36" x14ac:dyDescent="0.2">
      <c r="Y17" s="98" t="s">
        <v>135</v>
      </c>
      <c r="Z17" s="114">
        <v>20848.41</v>
      </c>
      <c r="AA17" s="114">
        <v>20690.599999999999</v>
      </c>
      <c r="AB17" s="114">
        <v>12796.488999999998</v>
      </c>
      <c r="AC17" s="114">
        <v>2400</v>
      </c>
      <c r="AD17" s="114">
        <v>1262.76</v>
      </c>
      <c r="AE17" s="114">
        <v>66052.09</v>
      </c>
      <c r="AF17" s="114">
        <v>47031.56</v>
      </c>
      <c r="AG17" s="114">
        <v>1334</v>
      </c>
      <c r="AH17" s="114"/>
      <c r="AI17" s="114">
        <v>6700</v>
      </c>
      <c r="AJ17" s="114">
        <v>179115.90899999999</v>
      </c>
    </row>
  </sheetData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160" priority="10" stopIfTrue="1" operator="equal">
      <formula>"ok"</formula>
    </cfRule>
  </conditionalFormatting>
  <conditionalFormatting sqref="E21 E23:E30 E14:E19">
    <cfRule type="cellIs" dxfId="159" priority="9" stopIfTrue="1" operator="greaterThan">
      <formula>15</formula>
    </cfRule>
  </conditionalFormatting>
  <conditionalFormatting sqref="I7:I10">
    <cfRule type="cellIs" dxfId="158" priority="8" stopIfTrue="1" operator="lessThan">
      <formula>0</formula>
    </cfRule>
  </conditionalFormatting>
  <conditionalFormatting sqref="E22">
    <cfRule type="cellIs" dxfId="157" priority="5" stopIfTrue="1" operator="lessThan">
      <formula>15</formula>
    </cfRule>
    <cfRule type="cellIs" dxfId="156" priority="6" stopIfTrue="1" operator="between">
      <formula>15</formula>
      <formula>19</formula>
    </cfRule>
    <cfRule type="cellIs" dxfId="155" priority="7" stopIfTrue="1" operator="greaterThanOrEqual">
      <formula>20</formula>
    </cfRule>
  </conditionalFormatting>
  <conditionalFormatting sqref="D26:D29 D15:D19">
    <cfRule type="cellIs" dxfId="154" priority="4" stopIfTrue="1" operator="greaterThan">
      <formula>400</formula>
    </cfRule>
  </conditionalFormatting>
  <conditionalFormatting sqref="D20 D29">
    <cfRule type="cellIs" dxfId="153" priority="3" operator="greaterThan">
      <formula>1100</formula>
    </cfRule>
  </conditionalFormatting>
  <conditionalFormatting sqref="D24">
    <cfRule type="cellIs" dxfId="152" priority="2" operator="lessThan">
      <formula>250</formula>
    </cfRule>
  </conditionalFormatting>
  <conditionalFormatting sqref="D26:D27 D17">
    <cfRule type="cellIs" dxfId="15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150" priority="10" stopIfTrue="1" operator="equal">
      <formula>"ok"</formula>
    </cfRule>
  </conditionalFormatting>
  <conditionalFormatting sqref="E21 E23:E30 E14:E19">
    <cfRule type="cellIs" dxfId="149" priority="9" stopIfTrue="1" operator="greaterThan">
      <formula>15</formula>
    </cfRule>
  </conditionalFormatting>
  <conditionalFormatting sqref="I7:I10">
    <cfRule type="cellIs" dxfId="148" priority="8" stopIfTrue="1" operator="lessThan">
      <formula>0</formula>
    </cfRule>
  </conditionalFormatting>
  <conditionalFormatting sqref="E22">
    <cfRule type="cellIs" dxfId="147" priority="5" stopIfTrue="1" operator="lessThan">
      <formula>15</formula>
    </cfRule>
    <cfRule type="cellIs" dxfId="146" priority="6" stopIfTrue="1" operator="between">
      <formula>15</formula>
      <formula>19</formula>
    </cfRule>
    <cfRule type="cellIs" dxfId="145" priority="7" stopIfTrue="1" operator="greaterThanOrEqual">
      <formula>20</formula>
    </cfRule>
  </conditionalFormatting>
  <conditionalFormatting sqref="D26:D29 D15:D19">
    <cfRule type="cellIs" dxfId="144" priority="4" stopIfTrue="1" operator="greaterThan">
      <formula>400</formula>
    </cfRule>
  </conditionalFormatting>
  <conditionalFormatting sqref="D20 D29">
    <cfRule type="cellIs" dxfId="143" priority="3" operator="greaterThan">
      <formula>1100</formula>
    </cfRule>
  </conditionalFormatting>
  <conditionalFormatting sqref="D24">
    <cfRule type="cellIs" dxfId="142" priority="2" operator="lessThan">
      <formula>250</formula>
    </cfRule>
  </conditionalFormatting>
  <conditionalFormatting sqref="D26:D27 D17">
    <cfRule type="cellIs" dxfId="14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22"/>
  <sheetViews>
    <sheetView workbookViewId="0">
      <selection activeCell="D32" sqref="D32"/>
    </sheetView>
  </sheetViews>
  <sheetFormatPr defaultRowHeight="12.75" x14ac:dyDescent="0.2"/>
  <cols>
    <col min="1" max="1" width="13.85546875" style="1" customWidth="1"/>
    <col min="2" max="2" width="8" style="1" customWidth="1"/>
    <col min="3" max="3" width="11" style="1" bestFit="1" customWidth="1"/>
    <col min="4" max="4" width="13.28515625" style="1" bestFit="1" customWidth="1"/>
    <col min="5" max="5" width="9.140625" style="1"/>
    <col min="6" max="6" width="16.7109375" style="1" bestFit="1" customWidth="1"/>
    <col min="7" max="7" width="15.85546875" style="1" bestFit="1" customWidth="1"/>
    <col min="8" max="8" width="18.140625" style="1" bestFit="1" customWidth="1"/>
    <col min="9" max="9" width="9.140625" style="1"/>
    <col min="10" max="10" width="7.28515625" style="1" customWidth="1"/>
    <col min="11" max="16384" width="9.140625" style="1"/>
  </cols>
  <sheetData>
    <row r="1" spans="1:11" x14ac:dyDescent="0.2">
      <c r="A1" s="3"/>
      <c r="F1" s="1" t="s">
        <v>24</v>
      </c>
      <c r="H1" s="1" t="s">
        <v>25</v>
      </c>
    </row>
    <row r="2" spans="1:11" x14ac:dyDescent="0.2">
      <c r="A2" s="17" t="s">
        <v>12</v>
      </c>
      <c r="C2" s="2"/>
      <c r="D2" s="3"/>
      <c r="F2" s="6" t="s">
        <v>21</v>
      </c>
      <c r="H2" s="6" t="s">
        <v>22</v>
      </c>
      <c r="J2" s="8" t="s">
        <v>0</v>
      </c>
    </row>
    <row r="3" spans="1:11" x14ac:dyDescent="0.2">
      <c r="A3" s="16">
        <v>1000</v>
      </c>
      <c r="B3" s="4"/>
      <c r="C3" s="2"/>
      <c r="D3" s="5"/>
      <c r="E3" s="4"/>
      <c r="F3" s="16">
        <f>A3-SUM(C7:C16)</f>
        <v>-345</v>
      </c>
      <c r="G3" s="4"/>
      <c r="H3" s="19">
        <f>A3-C22</f>
        <v>-502.90000000000009</v>
      </c>
      <c r="I3" s="20"/>
      <c r="J3" s="21">
        <f>H3/A3*100</f>
        <v>-50.290000000000013</v>
      </c>
      <c r="K3" s="4"/>
    </row>
    <row r="4" spans="1:11" ht="13.5" thickBot="1" x14ac:dyDescent="0.25">
      <c r="C4" s="2"/>
      <c r="D4" s="3"/>
    </row>
    <row r="5" spans="1:11" x14ac:dyDescent="0.2">
      <c r="A5" s="127" t="s">
        <v>1</v>
      </c>
      <c r="B5" s="128"/>
      <c r="C5" s="128"/>
      <c r="D5" s="129"/>
    </row>
    <row r="6" spans="1:11" x14ac:dyDescent="0.2">
      <c r="A6" s="11" t="s">
        <v>2</v>
      </c>
      <c r="B6" s="6" t="s">
        <v>3</v>
      </c>
      <c r="C6" s="7" t="s">
        <v>4</v>
      </c>
      <c r="D6" s="12" t="s">
        <v>5</v>
      </c>
    </row>
    <row r="7" spans="1:11" x14ac:dyDescent="0.2">
      <c r="A7" s="13" t="s">
        <v>23</v>
      </c>
      <c r="B7" s="9"/>
      <c r="C7" s="10">
        <f>A3*10%</f>
        <v>100</v>
      </c>
      <c r="D7" s="14">
        <f>C7/A3*100</f>
        <v>10</v>
      </c>
      <c r="E7" s="2"/>
      <c r="F7" s="4"/>
    </row>
    <row r="8" spans="1:11" x14ac:dyDescent="0.2">
      <c r="A8" s="13" t="s">
        <v>13</v>
      </c>
      <c r="B8" s="9"/>
      <c r="C8" s="10">
        <v>10</v>
      </c>
      <c r="D8" s="14">
        <f>C8/A3*100</f>
        <v>1</v>
      </c>
      <c r="E8" s="2"/>
    </row>
    <row r="9" spans="1:11" x14ac:dyDescent="0.2">
      <c r="A9" s="13" t="s">
        <v>6</v>
      </c>
      <c r="B9" s="9"/>
      <c r="C9" s="10">
        <v>200</v>
      </c>
      <c r="D9" s="14">
        <f>C9/A3*100</f>
        <v>20</v>
      </c>
      <c r="E9" s="2"/>
    </row>
    <row r="10" spans="1:11" x14ac:dyDescent="0.2">
      <c r="A10" s="13" t="s">
        <v>14</v>
      </c>
      <c r="B10" s="9"/>
      <c r="C10" s="10">
        <v>10</v>
      </c>
      <c r="D10" s="14">
        <f>C10/A3*100</f>
        <v>1</v>
      </c>
      <c r="E10" s="2"/>
    </row>
    <row r="11" spans="1:11" x14ac:dyDescent="0.2">
      <c r="A11" s="13" t="s">
        <v>7</v>
      </c>
      <c r="B11" s="9"/>
      <c r="C11" s="10">
        <v>100</v>
      </c>
      <c r="D11" s="14">
        <f>C11/A3*100</f>
        <v>10</v>
      </c>
      <c r="E11" s="2"/>
    </row>
    <row r="12" spans="1:11" x14ac:dyDescent="0.2">
      <c r="A12" s="13" t="s">
        <v>8</v>
      </c>
      <c r="B12" s="9"/>
      <c r="C12" s="10">
        <v>500</v>
      </c>
      <c r="D12" s="14">
        <f>C12/A3*100</f>
        <v>50</v>
      </c>
      <c r="E12" s="2"/>
    </row>
    <row r="13" spans="1:11" x14ac:dyDescent="0.2">
      <c r="A13" s="13" t="s">
        <v>9</v>
      </c>
      <c r="B13" s="9"/>
      <c r="C13" s="10">
        <v>150</v>
      </c>
      <c r="D13" s="14">
        <f>C13/A3*100</f>
        <v>15</v>
      </c>
      <c r="E13" s="2"/>
    </row>
    <row r="14" spans="1:11" x14ac:dyDescent="0.2">
      <c r="A14" s="13" t="s">
        <v>10</v>
      </c>
      <c r="B14" s="9"/>
      <c r="C14" s="10">
        <v>100</v>
      </c>
      <c r="D14" s="14">
        <f>C14/A3*100</f>
        <v>10</v>
      </c>
      <c r="E14" s="2"/>
    </row>
    <row r="15" spans="1:11" x14ac:dyDescent="0.2">
      <c r="A15" s="13" t="s">
        <v>15</v>
      </c>
      <c r="B15" s="9"/>
      <c r="C15" s="10">
        <v>160</v>
      </c>
      <c r="D15" s="14">
        <f>C15/A3*100</f>
        <v>16</v>
      </c>
      <c r="E15" s="2"/>
    </row>
    <row r="16" spans="1:11" x14ac:dyDescent="0.2">
      <c r="A16" s="13" t="s">
        <v>16</v>
      </c>
      <c r="B16" s="9"/>
      <c r="C16" s="10">
        <v>15</v>
      </c>
      <c r="D16" s="14">
        <f>C16/A3*100</f>
        <v>1.5</v>
      </c>
      <c r="E16" s="2"/>
    </row>
    <row r="17" spans="1:5" x14ac:dyDescent="0.2">
      <c r="A17" s="13" t="s">
        <v>17</v>
      </c>
      <c r="B17" s="9"/>
      <c r="C17" s="10">
        <v>50</v>
      </c>
      <c r="D17" s="14">
        <f>C17/A3*100</f>
        <v>5</v>
      </c>
      <c r="E17" s="2"/>
    </row>
    <row r="18" spans="1:5" x14ac:dyDescent="0.2">
      <c r="A18" s="13" t="s">
        <v>18</v>
      </c>
      <c r="B18" s="9"/>
      <c r="C18" s="10">
        <v>10</v>
      </c>
      <c r="D18" s="14">
        <f>C18/A3*100</f>
        <v>1</v>
      </c>
      <c r="E18" s="2"/>
    </row>
    <row r="19" spans="1:5" x14ac:dyDescent="0.2">
      <c r="A19" s="13" t="s">
        <v>19</v>
      </c>
      <c r="B19" s="9"/>
      <c r="C19" s="10">
        <v>47.9</v>
      </c>
      <c r="D19" s="14">
        <f>C19/A3*100</f>
        <v>4.79</v>
      </c>
      <c r="E19" s="2"/>
    </row>
    <row r="20" spans="1:5" x14ac:dyDescent="0.2">
      <c r="A20" s="13" t="s">
        <v>11</v>
      </c>
      <c r="B20" s="9"/>
      <c r="C20" s="10">
        <v>50</v>
      </c>
      <c r="D20" s="14">
        <f>C20/A3*100</f>
        <v>5</v>
      </c>
      <c r="E20" s="2"/>
    </row>
    <row r="21" spans="1:5" x14ac:dyDescent="0.2">
      <c r="A21" s="13"/>
      <c r="B21" s="9"/>
      <c r="C21" s="10"/>
      <c r="D21" s="14"/>
      <c r="E21" s="2"/>
    </row>
    <row r="22" spans="1:5" ht="13.5" thickBot="1" x14ac:dyDescent="0.25">
      <c r="A22" s="125" t="s">
        <v>20</v>
      </c>
      <c r="B22" s="126"/>
      <c r="C22" s="18">
        <f>SUM(C7:C20)</f>
        <v>1502.9</v>
      </c>
      <c r="D22" s="15"/>
    </row>
  </sheetData>
  <mergeCells count="2">
    <mergeCell ref="A5:D5"/>
    <mergeCell ref="A22:B22"/>
  </mergeCells>
  <phoneticPr fontId="19" type="noConversion"/>
  <conditionalFormatting sqref="E7:E21">
    <cfRule type="cellIs" dxfId="140" priority="1" stopIfTrue="1" operator="equal">
      <formula>"ok"</formula>
    </cfRule>
  </conditionalFormatting>
  <conditionalFormatting sqref="D7:D8 D10:D21">
    <cfRule type="cellIs" dxfId="139" priority="2" stopIfTrue="1" operator="greaterThan">
      <formula>15</formula>
    </cfRule>
  </conditionalFormatting>
  <conditionalFormatting sqref="C8:C21">
    <cfRule type="cellIs" dxfId="138" priority="3" stopIfTrue="1" operator="greaterThan">
      <formula>300</formula>
    </cfRule>
  </conditionalFormatting>
  <conditionalFormatting sqref="H3 J3">
    <cfRule type="cellIs" dxfId="137" priority="4" stopIfTrue="1" operator="lessThan">
      <formula>0</formula>
    </cfRule>
  </conditionalFormatting>
  <conditionalFormatting sqref="D9">
    <cfRule type="cellIs" dxfId="136" priority="5" stopIfTrue="1" operator="lessThan">
      <formula>15</formula>
    </cfRule>
    <cfRule type="cellIs" dxfId="135" priority="6" stopIfTrue="1" operator="between">
      <formula>15</formula>
      <formula>19</formula>
    </cfRule>
    <cfRule type="cellIs" dxfId="134" priority="7" stopIfTrue="1" operator="greaterThanOrEqual">
      <formula>20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29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140625" style="1"/>
    <col min="12" max="12" width="8.28515625" style="1" customWidth="1"/>
    <col min="13" max="16384" width="9.140625" style="1"/>
  </cols>
  <sheetData>
    <row r="1" spans="1:13" x14ac:dyDescent="0.2">
      <c r="C1" s="3"/>
    </row>
    <row r="2" spans="1:13" x14ac:dyDescent="0.2">
      <c r="C2" s="23" t="s">
        <v>29</v>
      </c>
      <c r="D2" s="24" t="s">
        <v>28</v>
      </c>
      <c r="E2" s="2"/>
      <c r="F2" s="3"/>
      <c r="H2" s="25" t="s">
        <v>47</v>
      </c>
      <c r="J2" s="26" t="s">
        <v>48</v>
      </c>
      <c r="L2" s="8" t="s">
        <v>0</v>
      </c>
    </row>
    <row r="3" spans="1:13" x14ac:dyDescent="0.2">
      <c r="C3" s="16">
        <v>3500</v>
      </c>
      <c r="D3" s="16">
        <v>1994.44</v>
      </c>
      <c r="E3" s="2"/>
      <c r="F3" s="5"/>
      <c r="G3" s="4"/>
      <c r="H3" s="16">
        <f>D3-SUMIF(D7:D28,40602,E7:E28)</f>
        <v>138.44000000000005</v>
      </c>
      <c r="I3" s="4"/>
      <c r="J3" s="19">
        <f>D3-E29</f>
        <v>2.8399999999999181</v>
      </c>
      <c r="K3" s="20"/>
      <c r="L3" s="21">
        <f>J3/C3*100</f>
        <v>8.1142857142854796E-2</v>
      </c>
      <c r="M3" s="4"/>
    </row>
    <row r="4" spans="1:13" ht="13.5" thickBot="1" x14ac:dyDescent="0.25">
      <c r="E4" s="2"/>
      <c r="F4" s="3"/>
    </row>
    <row r="5" spans="1:13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3" x14ac:dyDescent="0.2">
      <c r="C6" s="46" t="s">
        <v>38</v>
      </c>
      <c r="D6" s="27"/>
      <c r="E6" s="28"/>
      <c r="F6" s="29"/>
      <c r="I6" s="35" t="s">
        <v>38</v>
      </c>
      <c r="J6" s="37">
        <f>SUMIF(G7:G17,"",E7:E17)</f>
        <v>0</v>
      </c>
    </row>
    <row r="7" spans="1:13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40602</v>
      </c>
      <c r="E7" s="10">
        <f>C3*10%</f>
        <v>350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SUMIF(G18:G22,"",E18:E22)</f>
        <v>0</v>
      </c>
      <c r="L7" s="50"/>
    </row>
    <row r="8" spans="1:13" x14ac:dyDescent="0.2">
      <c r="A8" s="1" t="str">
        <f t="shared" ref="A8:A27" si="0">CONCATENATE(B8,G8)</f>
        <v>ok</v>
      </c>
      <c r="C8" s="47" t="s">
        <v>31</v>
      </c>
      <c r="D8" s="22">
        <v>40602</v>
      </c>
      <c r="E8" s="10">
        <v>277</v>
      </c>
      <c r="F8" s="14">
        <f t="shared" ref="F8:F13" si="1">E8/$D$3*100</f>
        <v>13.888610336736127</v>
      </c>
      <c r="G8" s="2" t="s">
        <v>33</v>
      </c>
      <c r="I8" s="35" t="s">
        <v>44</v>
      </c>
      <c r="J8" s="37">
        <f>SUMIF(G23:G27,"",E23:E28)</f>
        <v>0</v>
      </c>
      <c r="L8" s="50"/>
    </row>
    <row r="9" spans="1:13" x14ac:dyDescent="0.2">
      <c r="A9" s="1" t="str">
        <f t="shared" si="0"/>
        <v>ok</v>
      </c>
      <c r="C9" s="47" t="s">
        <v>32</v>
      </c>
      <c r="D9" s="22">
        <v>40602</v>
      </c>
      <c r="E9" s="10">
        <v>187.5</v>
      </c>
      <c r="F9" s="14">
        <f t="shared" si="1"/>
        <v>9.4011351557329377</v>
      </c>
      <c r="G9" s="2" t="s">
        <v>33</v>
      </c>
      <c r="I9" s="35"/>
      <c r="J9" s="37"/>
    </row>
    <row r="10" spans="1:13" x14ac:dyDescent="0.2">
      <c r="A10" s="1" t="str">
        <f t="shared" si="0"/>
        <v>Simok</v>
      </c>
      <c r="B10" s="53" t="s">
        <v>50</v>
      </c>
      <c r="C10" s="47" t="s">
        <v>8</v>
      </c>
      <c r="D10" s="22">
        <v>40602</v>
      </c>
      <c r="E10" s="10">
        <v>100</v>
      </c>
      <c r="F10" s="14">
        <f t="shared" si="1"/>
        <v>5.0139387497242334</v>
      </c>
      <c r="G10" s="51" t="s">
        <v>33</v>
      </c>
      <c r="I10" s="36" t="s">
        <v>45</v>
      </c>
      <c r="J10" s="38">
        <f>SUM(J6:J9)</f>
        <v>0</v>
      </c>
    </row>
    <row r="11" spans="1:13" x14ac:dyDescent="0.2">
      <c r="A11" s="1" t="str">
        <f t="shared" si="0"/>
        <v>ok</v>
      </c>
      <c r="B11" s="41"/>
      <c r="C11" s="47" t="s">
        <v>9</v>
      </c>
      <c r="D11" s="22">
        <v>40602</v>
      </c>
      <c r="E11" s="10">
        <v>28.5</v>
      </c>
      <c r="F11" s="14">
        <f t="shared" si="1"/>
        <v>1.4289725436714065</v>
      </c>
      <c r="G11" s="51" t="s">
        <v>33</v>
      </c>
    </row>
    <row r="12" spans="1:13" x14ac:dyDescent="0.2">
      <c r="A12" s="1" t="str">
        <f t="shared" si="0"/>
        <v>Simok</v>
      </c>
      <c r="B12" s="53" t="s">
        <v>50</v>
      </c>
      <c r="C12" s="47" t="s">
        <v>34</v>
      </c>
      <c r="D12" s="22">
        <v>40602</v>
      </c>
      <c r="E12" s="10">
        <v>20</v>
      </c>
      <c r="F12" s="14">
        <f t="shared" si="1"/>
        <v>1.0027877499448465</v>
      </c>
      <c r="G12" s="51" t="s">
        <v>33</v>
      </c>
      <c r="I12" s="123" t="s">
        <v>35</v>
      </c>
      <c r="J12" s="124"/>
    </row>
    <row r="13" spans="1:13" x14ac:dyDescent="0.2">
      <c r="A13" s="1" t="str">
        <f t="shared" si="0"/>
        <v>ok</v>
      </c>
      <c r="B13" s="41"/>
      <c r="C13" s="47" t="s">
        <v>36</v>
      </c>
      <c r="D13" s="22">
        <v>40605</v>
      </c>
      <c r="E13" s="10">
        <v>0</v>
      </c>
      <c r="F13" s="14">
        <f t="shared" si="1"/>
        <v>0</v>
      </c>
      <c r="G13" s="51" t="s">
        <v>33</v>
      </c>
      <c r="I13" s="35" t="s">
        <v>38</v>
      </c>
      <c r="J13" s="37">
        <f>SUMIF(A7:A17,"sim",E7:E17)</f>
        <v>0</v>
      </c>
    </row>
    <row r="14" spans="1:13" x14ac:dyDescent="0.2">
      <c r="A14" s="1" t="str">
        <f t="shared" si="0"/>
        <v>ok</v>
      </c>
      <c r="C14" s="47" t="s">
        <v>53</v>
      </c>
      <c r="D14" s="22">
        <v>40630</v>
      </c>
      <c r="E14" s="10">
        <f>41.2</f>
        <v>41.2</v>
      </c>
      <c r="F14" s="14">
        <f t="shared" ref="F14:F15" si="2">E14/$D$3*100</f>
        <v>2.0657427648863842</v>
      </c>
      <c r="G14" s="51" t="s">
        <v>33</v>
      </c>
      <c r="I14" s="35" t="s">
        <v>41</v>
      </c>
      <c r="J14" s="37">
        <f>SUMIF(A18:A22,"sim",E18:E22)</f>
        <v>0</v>
      </c>
    </row>
    <row r="15" spans="1:13" x14ac:dyDescent="0.2">
      <c r="A15" s="1" t="str">
        <f t="shared" si="0"/>
        <v>ok</v>
      </c>
      <c r="C15" s="47" t="s">
        <v>53</v>
      </c>
      <c r="D15" s="22">
        <v>40631</v>
      </c>
      <c r="E15" s="10">
        <f t="shared" ref="E15:E16" si="3">41.2</f>
        <v>41.2</v>
      </c>
      <c r="F15" s="14">
        <f t="shared" si="2"/>
        <v>2.0657427648863842</v>
      </c>
      <c r="G15" s="51" t="s">
        <v>33</v>
      </c>
      <c r="I15" s="35" t="s">
        <v>44</v>
      </c>
      <c r="J15" s="37">
        <f>SUMIF(A23:A27,"sim",E23:E28)</f>
        <v>0</v>
      </c>
    </row>
    <row r="16" spans="1:13" x14ac:dyDescent="0.2">
      <c r="A16" s="1" t="str">
        <f t="shared" si="0"/>
        <v>ok</v>
      </c>
      <c r="B16" s="41"/>
      <c r="C16" s="47" t="s">
        <v>53</v>
      </c>
      <c r="D16" s="52">
        <v>40632</v>
      </c>
      <c r="E16" s="10">
        <f t="shared" si="3"/>
        <v>41.2</v>
      </c>
      <c r="F16" s="14">
        <f t="shared" ref="F16:F27" si="4">E16/$D$3*100</f>
        <v>2.0657427648863842</v>
      </c>
      <c r="G16" s="51" t="s">
        <v>33</v>
      </c>
      <c r="I16" s="35"/>
      <c r="J16" s="37"/>
    </row>
    <row r="17" spans="1:14" x14ac:dyDescent="0.2">
      <c r="A17" s="1" t="str">
        <f t="shared" si="0"/>
        <v/>
      </c>
      <c r="B17" s="41"/>
      <c r="C17" s="46" t="s">
        <v>41</v>
      </c>
      <c r="D17" s="30"/>
      <c r="E17" s="31"/>
      <c r="F17" s="32"/>
      <c r="G17" s="2"/>
      <c r="I17" s="36" t="s">
        <v>45</v>
      </c>
      <c r="J17" s="38">
        <f>SUM(J13:J16)</f>
        <v>0</v>
      </c>
    </row>
    <row r="18" spans="1:14" x14ac:dyDescent="0.2">
      <c r="A18" s="1" t="str">
        <f t="shared" si="0"/>
        <v>ok</v>
      </c>
      <c r="C18" s="47" t="s">
        <v>42</v>
      </c>
      <c r="D18" s="22">
        <v>40602</v>
      </c>
      <c r="E18" s="10">
        <v>0</v>
      </c>
      <c r="F18" s="14">
        <f>E18/$D$3*100</f>
        <v>0</v>
      </c>
      <c r="G18" s="39" t="s">
        <v>33</v>
      </c>
    </row>
    <row r="19" spans="1:14" x14ac:dyDescent="0.2">
      <c r="A19" s="1" t="str">
        <f t="shared" si="0"/>
        <v>Simok</v>
      </c>
      <c r="B19" s="53" t="s">
        <v>50</v>
      </c>
      <c r="C19" s="47" t="s">
        <v>26</v>
      </c>
      <c r="D19" s="22">
        <v>40602</v>
      </c>
      <c r="E19" s="10">
        <v>100</v>
      </c>
      <c r="F19" s="14">
        <f>E19/$D$3*100</f>
        <v>5.0139387497242334</v>
      </c>
      <c r="G19" s="51" t="s">
        <v>33</v>
      </c>
    </row>
    <row r="20" spans="1:14" x14ac:dyDescent="0.2">
      <c r="A20" s="1" t="str">
        <f t="shared" si="0"/>
        <v>Simok</v>
      </c>
      <c r="B20" s="53" t="s">
        <v>50</v>
      </c>
      <c r="C20" s="47" t="s">
        <v>27</v>
      </c>
      <c r="D20" s="22">
        <v>40602</v>
      </c>
      <c r="E20" s="10">
        <v>100</v>
      </c>
      <c r="F20" s="14">
        <f>E20/$D$3*100</f>
        <v>5.0139387497242334</v>
      </c>
      <c r="G20" s="51" t="s">
        <v>33</v>
      </c>
    </row>
    <row r="21" spans="1:14" x14ac:dyDescent="0.2">
      <c r="A21" s="1" t="str">
        <f t="shared" si="0"/>
        <v>ok</v>
      </c>
      <c r="C21" s="47" t="s">
        <v>39</v>
      </c>
      <c r="D21" s="22">
        <v>40602</v>
      </c>
      <c r="E21" s="10">
        <v>0</v>
      </c>
      <c r="F21" s="14">
        <f>E21/$D$3*100</f>
        <v>0</v>
      </c>
      <c r="G21" s="51" t="s">
        <v>33</v>
      </c>
      <c r="I21" s="123" t="s">
        <v>46</v>
      </c>
      <c r="J21" s="124"/>
    </row>
    <row r="22" spans="1:14" x14ac:dyDescent="0.2">
      <c r="A22" s="1" t="str">
        <f t="shared" si="0"/>
        <v/>
      </c>
      <c r="C22" s="46" t="s">
        <v>40</v>
      </c>
      <c r="D22" s="33"/>
      <c r="E22" s="31"/>
      <c r="F22" s="32"/>
      <c r="I22" s="35" t="s">
        <v>3</v>
      </c>
      <c r="J22" s="49" t="s">
        <v>51</v>
      </c>
    </row>
    <row r="23" spans="1:14" x14ac:dyDescent="0.2">
      <c r="A23" s="1" t="str">
        <f t="shared" si="0"/>
        <v>ok</v>
      </c>
      <c r="B23" s="41"/>
      <c r="C23" s="47" t="s">
        <v>10</v>
      </c>
      <c r="D23" s="22">
        <v>40602</v>
      </c>
      <c r="E23" s="10">
        <v>600</v>
      </c>
      <c r="F23" s="14">
        <f>E23/$D$3*100</f>
        <v>30.083632498345398</v>
      </c>
      <c r="G23" s="2" t="s">
        <v>33</v>
      </c>
      <c r="I23" s="48">
        <v>40602</v>
      </c>
      <c r="J23" s="37">
        <v>725.34</v>
      </c>
      <c r="L23" s="50"/>
      <c r="N23" s="50"/>
    </row>
    <row r="24" spans="1:14" x14ac:dyDescent="0.2">
      <c r="A24" s="1" t="str">
        <f t="shared" si="0"/>
        <v>ok</v>
      </c>
      <c r="C24" s="47" t="s">
        <v>30</v>
      </c>
      <c r="D24" s="22">
        <v>40602</v>
      </c>
      <c r="E24" s="10">
        <v>68</v>
      </c>
      <c r="F24" s="14">
        <f>E24/$D$3*100</f>
        <v>3.409478349812479</v>
      </c>
      <c r="G24" s="2" t="s">
        <v>33</v>
      </c>
      <c r="I24" s="48">
        <v>40633</v>
      </c>
      <c r="J24" s="37">
        <v>2.3199999999999998</v>
      </c>
    </row>
    <row r="25" spans="1:14" x14ac:dyDescent="0.2">
      <c r="A25" s="1" t="str">
        <f t="shared" si="0"/>
        <v>ok</v>
      </c>
      <c r="C25" s="47" t="s">
        <v>54</v>
      </c>
      <c r="D25" s="22">
        <v>40602</v>
      </c>
      <c r="E25" s="10">
        <v>25</v>
      </c>
      <c r="F25" s="14">
        <f>E25/$D$3*100</f>
        <v>1.2534846874310583</v>
      </c>
      <c r="G25" s="39" t="s">
        <v>33</v>
      </c>
      <c r="I25" s="35"/>
      <c r="J25" s="37"/>
    </row>
    <row r="26" spans="1:14" x14ac:dyDescent="0.2">
      <c r="A26" s="1" t="str">
        <f t="shared" si="0"/>
        <v>ok</v>
      </c>
      <c r="C26" s="47" t="s">
        <v>37</v>
      </c>
      <c r="D26" s="22">
        <v>40602</v>
      </c>
      <c r="E26" s="10">
        <v>0</v>
      </c>
      <c r="F26" s="14">
        <f t="shared" si="4"/>
        <v>0</v>
      </c>
      <c r="G26" s="39" t="s">
        <v>33</v>
      </c>
      <c r="I26" s="36"/>
      <c r="J26" s="38"/>
    </row>
    <row r="27" spans="1:14" x14ac:dyDescent="0.2">
      <c r="A27" s="1" t="str">
        <f t="shared" si="0"/>
        <v>ok</v>
      </c>
      <c r="C27" s="47" t="s">
        <v>11</v>
      </c>
      <c r="D27" s="22">
        <v>40603</v>
      </c>
      <c r="E27" s="10">
        <v>12</v>
      </c>
      <c r="F27" s="14">
        <f t="shared" si="4"/>
        <v>0.60167264996690795</v>
      </c>
      <c r="G27" s="39" t="s">
        <v>33</v>
      </c>
    </row>
    <row r="28" spans="1:14" x14ac:dyDescent="0.2">
      <c r="C28" s="34"/>
      <c r="D28" s="33"/>
      <c r="E28" s="31"/>
      <c r="F28" s="32"/>
    </row>
    <row r="29" spans="1:14" ht="13.5" thickBot="1" x14ac:dyDescent="0.25">
      <c r="C29" s="125" t="s">
        <v>20</v>
      </c>
      <c r="D29" s="126"/>
      <c r="E29" s="18">
        <f>SUM(E7:E27)</f>
        <v>1991.6000000000001</v>
      </c>
      <c r="F29" s="15"/>
    </row>
  </sheetData>
  <mergeCells count="4">
    <mergeCell ref="C29:D29"/>
    <mergeCell ref="I5:J5"/>
    <mergeCell ref="I12:J12"/>
    <mergeCell ref="I21:J21"/>
  </mergeCells>
  <phoneticPr fontId="19" type="noConversion"/>
  <conditionalFormatting sqref="G7:G20 G23:G27">
    <cfRule type="cellIs" dxfId="133" priority="5" stopIfTrue="1" operator="equal">
      <formula>"ok"</formula>
    </cfRule>
  </conditionalFormatting>
  <conditionalFormatting sqref="F7:F17 F19:F28">
    <cfRule type="cellIs" dxfId="132" priority="6" stopIfTrue="1" operator="greaterThan">
      <formula>15</formula>
    </cfRule>
  </conditionalFormatting>
  <conditionalFormatting sqref="E8:E22 E24:E28">
    <cfRule type="cellIs" dxfId="131" priority="7" stopIfTrue="1" operator="greaterThan">
      <formula>300</formula>
    </cfRule>
  </conditionalFormatting>
  <conditionalFormatting sqref="J3 L3">
    <cfRule type="cellIs" dxfId="130" priority="8" stopIfTrue="1" operator="lessThan">
      <formula>0</formula>
    </cfRule>
  </conditionalFormatting>
  <conditionalFormatting sqref="F18">
    <cfRule type="cellIs" dxfId="129" priority="9" stopIfTrue="1" operator="lessThan">
      <formula>15</formula>
    </cfRule>
    <cfRule type="cellIs" dxfId="128" priority="10" stopIfTrue="1" operator="between">
      <formula>15</formula>
      <formula>19</formula>
    </cfRule>
    <cfRule type="cellIs" dxfId="127" priority="11" stopIfTrue="1" operator="greaterThanOrEqual">
      <formula>20</formula>
    </cfRule>
  </conditionalFormatting>
  <conditionalFormatting sqref="E8:E16 E23:E27">
    <cfRule type="cellIs" dxfId="126" priority="4" stopIfTrue="1" operator="greaterThan">
      <formula>400</formula>
    </cfRule>
  </conditionalFormatting>
  <conditionalFormatting sqref="G21">
    <cfRule type="cellIs" dxfId="125" priority="1" stopIfTrue="1" operator="equal">
      <formula>"ok"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P30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42578125" style="1" bestFit="1" customWidth="1"/>
    <col min="12" max="12" width="8.28515625" style="1" customWidth="1"/>
    <col min="13" max="13" width="9.28515625" style="1" bestFit="1" customWidth="1"/>
    <col min="14" max="14" width="12.28515625" style="1" bestFit="1" customWidth="1"/>
    <col min="15" max="15" width="12.28515625" style="1" customWidth="1"/>
    <col min="16" max="16" width="11" style="1" bestFit="1" customWidth="1"/>
    <col min="17" max="16384" width="9.140625" style="1"/>
  </cols>
  <sheetData>
    <row r="1" spans="1:16" x14ac:dyDescent="0.2">
      <c r="C1" s="3"/>
    </row>
    <row r="2" spans="1:16" x14ac:dyDescent="0.2">
      <c r="C2" s="23" t="s">
        <v>29</v>
      </c>
      <c r="D2" s="24" t="s">
        <v>28</v>
      </c>
      <c r="E2" s="2"/>
      <c r="F2" s="3"/>
      <c r="H2" s="25" t="s">
        <v>48</v>
      </c>
      <c r="J2" s="26" t="s">
        <v>55</v>
      </c>
      <c r="L2" s="8" t="s">
        <v>0</v>
      </c>
    </row>
    <row r="3" spans="1:16" x14ac:dyDescent="0.2">
      <c r="C3" s="16">
        <v>3500</v>
      </c>
      <c r="D3" s="16">
        <v>1994.44</v>
      </c>
      <c r="E3" s="2"/>
      <c r="F3" s="5"/>
      <c r="G3" s="4"/>
      <c r="H3" s="16">
        <f>D3-SUMIF(D7:D28,40633,E7:E28)</f>
        <v>-61.480000000000018</v>
      </c>
      <c r="I3" s="4"/>
      <c r="J3" s="19">
        <f>D3-E29</f>
        <v>-228.48000000000002</v>
      </c>
      <c r="K3" s="20"/>
      <c r="L3" s="21">
        <f>J3/C3*100</f>
        <v>-6.5280000000000005</v>
      </c>
      <c r="M3" s="4"/>
    </row>
    <row r="4" spans="1:16" ht="13.5" thickBot="1" x14ac:dyDescent="0.25">
      <c r="E4" s="2"/>
      <c r="F4" s="3"/>
      <c r="H4" s="40"/>
    </row>
    <row r="5" spans="1:16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6" x14ac:dyDescent="0.2">
      <c r="C6" s="46" t="s">
        <v>38</v>
      </c>
      <c r="D6" s="27"/>
      <c r="E6" s="28"/>
      <c r="F6" s="29"/>
      <c r="I6" s="35" t="s">
        <v>38</v>
      </c>
      <c r="J6" s="37">
        <f>SUMIF(G7:G14,"",E7:E14)</f>
        <v>62.5</v>
      </c>
    </row>
    <row r="7" spans="1:16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40633</v>
      </c>
      <c r="E7" s="10">
        <f>C3*10%</f>
        <v>350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SUMIF(G17:G20,"",E17:E20)</f>
        <v>0</v>
      </c>
      <c r="L7" s="50"/>
    </row>
    <row r="8" spans="1:16" x14ac:dyDescent="0.2">
      <c r="A8" s="1" t="str">
        <f t="shared" ref="A8:A30" si="0">CONCATENATE(B8,G8)</f>
        <v>ok</v>
      </c>
      <c r="C8" s="47" t="s">
        <v>31</v>
      </c>
      <c r="D8" s="22">
        <v>40633</v>
      </c>
      <c r="E8" s="10">
        <v>277</v>
      </c>
      <c r="F8" s="14">
        <f t="shared" ref="F8:F26" si="1">E8/$D$3*100</f>
        <v>13.888610336736127</v>
      </c>
      <c r="G8" s="2" t="s">
        <v>33</v>
      </c>
      <c r="I8" s="35" t="s">
        <v>44</v>
      </c>
      <c r="J8" s="37">
        <f>SUMIF(G23:G26,"",E23:E26)</f>
        <v>0</v>
      </c>
      <c r="L8" s="50"/>
    </row>
    <row r="9" spans="1:16" x14ac:dyDescent="0.2">
      <c r="A9" s="1" t="str">
        <f t="shared" si="0"/>
        <v/>
      </c>
      <c r="C9" s="47" t="s">
        <v>32</v>
      </c>
      <c r="D9" s="22">
        <v>40633</v>
      </c>
      <c r="E9" s="10">
        <v>62.5</v>
      </c>
      <c r="F9" s="14">
        <f t="shared" si="1"/>
        <v>3.1337117185776453</v>
      </c>
      <c r="G9" s="51"/>
      <c r="I9" s="35"/>
      <c r="J9" s="37"/>
    </row>
    <row r="10" spans="1:16" x14ac:dyDescent="0.2">
      <c r="A10" s="1" t="str">
        <f t="shared" si="0"/>
        <v>Simok</v>
      </c>
      <c r="B10" s="53" t="s">
        <v>50</v>
      </c>
      <c r="C10" s="47" t="s">
        <v>8</v>
      </c>
      <c r="D10" s="22">
        <v>40633</v>
      </c>
      <c r="E10" s="10">
        <v>100</v>
      </c>
      <c r="F10" s="14">
        <f t="shared" si="1"/>
        <v>5.0139387497242334</v>
      </c>
      <c r="G10" s="51" t="s">
        <v>33</v>
      </c>
      <c r="I10" s="36" t="s">
        <v>45</v>
      </c>
      <c r="J10" s="38">
        <f>SUM(J6:J9)</f>
        <v>62.5</v>
      </c>
    </row>
    <row r="11" spans="1:16" x14ac:dyDescent="0.2">
      <c r="A11" s="1" t="str">
        <f t="shared" si="0"/>
        <v>ok</v>
      </c>
      <c r="B11" s="41"/>
      <c r="C11" s="47" t="s">
        <v>9</v>
      </c>
      <c r="D11" s="22">
        <v>40633</v>
      </c>
      <c r="E11" s="10">
        <v>28.5</v>
      </c>
      <c r="F11" s="14">
        <f t="shared" si="1"/>
        <v>1.4289725436714065</v>
      </c>
      <c r="G11" s="51" t="s">
        <v>33</v>
      </c>
    </row>
    <row r="12" spans="1:16" x14ac:dyDescent="0.2">
      <c r="A12" s="1" t="str">
        <f t="shared" si="0"/>
        <v>Simok</v>
      </c>
      <c r="B12" s="53" t="s">
        <v>50</v>
      </c>
      <c r="C12" s="47" t="s">
        <v>34</v>
      </c>
      <c r="D12" s="22">
        <v>40633</v>
      </c>
      <c r="E12" s="10">
        <v>20</v>
      </c>
      <c r="F12" s="14">
        <f t="shared" si="1"/>
        <v>1.0027877499448465</v>
      </c>
      <c r="G12" s="51" t="s">
        <v>33</v>
      </c>
      <c r="I12" s="123" t="s">
        <v>35</v>
      </c>
      <c r="J12" s="124"/>
      <c r="N12" s="123" t="s">
        <v>61</v>
      </c>
      <c r="O12" s="130"/>
      <c r="P12" s="124"/>
    </row>
    <row r="13" spans="1:16" x14ac:dyDescent="0.2">
      <c r="A13" s="1" t="str">
        <f t="shared" si="0"/>
        <v>ok</v>
      </c>
      <c r="B13" s="41"/>
      <c r="C13" s="47" t="s">
        <v>36</v>
      </c>
      <c r="D13" s="22">
        <v>40636</v>
      </c>
      <c r="E13" s="10">
        <v>167</v>
      </c>
      <c r="F13" s="14">
        <f t="shared" si="1"/>
        <v>8.373277712039469</v>
      </c>
      <c r="G13" s="51" t="s">
        <v>33</v>
      </c>
      <c r="I13" s="35" t="s">
        <v>38</v>
      </c>
      <c r="J13" s="37">
        <f>SUMIF(A7:A15,"sim",E7:E16)</f>
        <v>0</v>
      </c>
      <c r="N13" s="58"/>
      <c r="O13" s="64" t="s">
        <v>66</v>
      </c>
      <c r="P13" s="65" t="s">
        <v>67</v>
      </c>
    </row>
    <row r="14" spans="1:16" x14ac:dyDescent="0.2">
      <c r="A14" s="1" t="str">
        <f t="shared" si="0"/>
        <v>ok</v>
      </c>
      <c r="C14" s="47" t="s">
        <v>53</v>
      </c>
      <c r="D14" s="52">
        <v>40653</v>
      </c>
      <c r="E14" s="10">
        <v>0</v>
      </c>
      <c r="F14" s="14">
        <f t="shared" si="1"/>
        <v>0</v>
      </c>
      <c r="G14" s="51" t="s">
        <v>33</v>
      </c>
      <c r="I14" s="35" t="s">
        <v>41</v>
      </c>
      <c r="J14" s="37">
        <f>SUMIF(A17:A22,"sim",E17:E22)</f>
        <v>0</v>
      </c>
      <c r="N14" s="58" t="s">
        <v>62</v>
      </c>
      <c r="O14" s="59">
        <v>80.5</v>
      </c>
      <c r="P14" s="60">
        <v>100</v>
      </c>
    </row>
    <row r="15" spans="1:16" x14ac:dyDescent="0.2">
      <c r="C15" s="55" t="s">
        <v>57</v>
      </c>
      <c r="D15" s="54"/>
      <c r="E15" s="10">
        <f>SUM(E7:E14)</f>
        <v>1005</v>
      </c>
      <c r="F15" s="14">
        <f t="shared" si="1"/>
        <v>50.390084434728543</v>
      </c>
      <c r="G15" s="51"/>
      <c r="I15" s="35" t="s">
        <v>44</v>
      </c>
      <c r="J15" s="37">
        <f>SUMIF(A25:A30,"sim",E23:E28)</f>
        <v>0</v>
      </c>
      <c r="N15" s="58" t="s">
        <v>63</v>
      </c>
      <c r="O15" s="59">
        <v>80.5</v>
      </c>
      <c r="P15" s="60">
        <v>100</v>
      </c>
    </row>
    <row r="16" spans="1:16" x14ac:dyDescent="0.2">
      <c r="A16" s="1" t="str">
        <f t="shared" si="0"/>
        <v/>
      </c>
      <c r="C16" s="46" t="s">
        <v>41</v>
      </c>
      <c r="D16" s="30"/>
      <c r="E16" s="31"/>
      <c r="F16" s="32"/>
      <c r="G16" s="51"/>
      <c r="I16" s="35"/>
      <c r="J16" s="37"/>
      <c r="N16" s="58" t="s">
        <v>64</v>
      </c>
      <c r="O16" s="59">
        <v>161</v>
      </c>
      <c r="P16" s="60">
        <v>161</v>
      </c>
    </row>
    <row r="17" spans="1:16" x14ac:dyDescent="0.2">
      <c r="A17" s="1" t="str">
        <f t="shared" si="0"/>
        <v>ok</v>
      </c>
      <c r="B17" s="41"/>
      <c r="C17" s="47" t="s">
        <v>42</v>
      </c>
      <c r="D17" s="22">
        <v>40633</v>
      </c>
      <c r="E17" s="10">
        <v>0</v>
      </c>
      <c r="F17" s="14">
        <f>E17/$D$3*100</f>
        <v>0</v>
      </c>
      <c r="G17" s="51" t="s">
        <v>33</v>
      </c>
      <c r="I17" s="36" t="s">
        <v>45</v>
      </c>
      <c r="J17" s="38">
        <f>SUM(J13:J16)</f>
        <v>0</v>
      </c>
      <c r="N17" s="58" t="s">
        <v>65</v>
      </c>
      <c r="O17" s="59">
        <v>80.5</v>
      </c>
      <c r="P17" s="60"/>
    </row>
    <row r="18" spans="1:16" x14ac:dyDescent="0.2">
      <c r="A18" s="1" t="str">
        <f t="shared" ref="A18:A19" si="2">CONCATENATE(B18,G18)</f>
        <v>Simok</v>
      </c>
      <c r="B18" s="53" t="s">
        <v>50</v>
      </c>
      <c r="C18" s="47" t="s">
        <v>26</v>
      </c>
      <c r="D18" s="22">
        <v>40633</v>
      </c>
      <c r="E18" s="10">
        <v>100</v>
      </c>
      <c r="F18" s="14">
        <f>E18/$D$3*100</f>
        <v>5.0139387497242334</v>
      </c>
      <c r="G18" s="51" t="s">
        <v>33</v>
      </c>
      <c r="N18" s="35"/>
      <c r="O18" s="61"/>
      <c r="P18" s="60"/>
    </row>
    <row r="19" spans="1:16" x14ac:dyDescent="0.2">
      <c r="A19" s="1" t="str">
        <f t="shared" si="2"/>
        <v>Simok</v>
      </c>
      <c r="B19" s="53" t="s">
        <v>50</v>
      </c>
      <c r="C19" s="47" t="s">
        <v>27</v>
      </c>
      <c r="D19" s="22">
        <v>40633</v>
      </c>
      <c r="E19" s="10">
        <v>100</v>
      </c>
      <c r="F19" s="14">
        <f>E19/$D$3*100</f>
        <v>5.0139387497242334</v>
      </c>
      <c r="G19" s="51" t="s">
        <v>33</v>
      </c>
      <c r="N19" s="36" t="s">
        <v>45</v>
      </c>
      <c r="O19" s="62">
        <f>SUM(O14:O18)</f>
        <v>402.5</v>
      </c>
      <c r="P19" s="63">
        <f>SUM(P13:P18)</f>
        <v>361</v>
      </c>
    </row>
    <row r="20" spans="1:16" x14ac:dyDescent="0.2">
      <c r="B20" s="53"/>
      <c r="C20" s="47" t="s">
        <v>39</v>
      </c>
      <c r="D20" s="22">
        <v>40633</v>
      </c>
      <c r="E20" s="10">
        <v>0</v>
      </c>
      <c r="F20" s="14">
        <f>E20/$D$3*100</f>
        <v>0</v>
      </c>
      <c r="G20" s="51" t="s">
        <v>33</v>
      </c>
    </row>
    <row r="21" spans="1:16" x14ac:dyDescent="0.2">
      <c r="B21" s="53"/>
      <c r="C21" s="55" t="s">
        <v>57</v>
      </c>
      <c r="D21" s="54"/>
      <c r="E21" s="10">
        <f>SUM(E17:E20)</f>
        <v>200</v>
      </c>
      <c r="F21" s="14">
        <f t="shared" ref="F21" si="3">E21/$D$3*100</f>
        <v>10.027877499448467</v>
      </c>
      <c r="G21" s="51"/>
      <c r="I21" s="123" t="s">
        <v>46</v>
      </c>
      <c r="J21" s="124"/>
    </row>
    <row r="22" spans="1:16" x14ac:dyDescent="0.2">
      <c r="B22" s="53"/>
      <c r="C22" s="46" t="s">
        <v>40</v>
      </c>
      <c r="D22" s="33"/>
      <c r="E22" s="31"/>
      <c r="F22" s="32"/>
      <c r="I22" s="35" t="s">
        <v>3</v>
      </c>
      <c r="J22" s="49" t="s">
        <v>51</v>
      </c>
    </row>
    <row r="23" spans="1:16" x14ac:dyDescent="0.2">
      <c r="C23" s="47" t="s">
        <v>10</v>
      </c>
      <c r="D23" s="22">
        <v>40633</v>
      </c>
      <c r="E23" s="10">
        <v>1000.92</v>
      </c>
      <c r="F23" s="14">
        <f>E23/$D$3*100</f>
        <v>50.185515733739791</v>
      </c>
      <c r="G23" s="51" t="s">
        <v>33</v>
      </c>
      <c r="I23" s="48">
        <v>40633</v>
      </c>
      <c r="J23" s="66">
        <f>1082.21+P16+120</f>
        <v>1363.21</v>
      </c>
      <c r="K23" s="4">
        <f>J23-670</f>
        <v>693.21</v>
      </c>
      <c r="L23" s="50"/>
      <c r="M23" s="50"/>
      <c r="N23" s="50"/>
    </row>
    <row r="24" spans="1:16" x14ac:dyDescent="0.2">
      <c r="A24" s="1" t="str">
        <f t="shared" si="0"/>
        <v>ok</v>
      </c>
      <c r="C24" s="47" t="s">
        <v>37</v>
      </c>
      <c r="D24" s="22">
        <v>40633</v>
      </c>
      <c r="E24" s="10">
        <v>17</v>
      </c>
      <c r="F24" s="14">
        <f t="shared" si="1"/>
        <v>0.85236958745311975</v>
      </c>
      <c r="G24" s="51" t="s">
        <v>33</v>
      </c>
      <c r="I24" s="48"/>
      <c r="J24" s="37"/>
    </row>
    <row r="25" spans="1:16" x14ac:dyDescent="0.2">
      <c r="A25" s="1" t="str">
        <f t="shared" si="0"/>
        <v>ok</v>
      </c>
      <c r="B25" s="41"/>
      <c r="C25" s="47" t="s">
        <v>11</v>
      </c>
      <c r="D25" s="22">
        <v>40633</v>
      </c>
      <c r="E25" s="10">
        <v>0</v>
      </c>
      <c r="F25" s="14">
        <f t="shared" ref="F25" si="4">E25/$D$3*100</f>
        <v>0</v>
      </c>
      <c r="G25" s="51" t="s">
        <v>33</v>
      </c>
      <c r="I25" s="36"/>
      <c r="J25" s="38"/>
      <c r="L25" s="50"/>
    </row>
    <row r="26" spans="1:16" x14ac:dyDescent="0.2">
      <c r="B26" s="41"/>
      <c r="C26" s="47" t="s">
        <v>58</v>
      </c>
      <c r="D26" s="22">
        <v>40633</v>
      </c>
      <c r="E26" s="10">
        <f>P17</f>
        <v>0</v>
      </c>
      <c r="F26" s="14">
        <f t="shared" si="1"/>
        <v>0</v>
      </c>
      <c r="G26" s="51" t="s">
        <v>33</v>
      </c>
      <c r="L26" s="50"/>
    </row>
    <row r="27" spans="1:16" x14ac:dyDescent="0.2">
      <c r="A27" s="1" t="str">
        <f t="shared" si="0"/>
        <v/>
      </c>
      <c r="C27" s="55" t="s">
        <v>57</v>
      </c>
      <c r="D27" s="54"/>
      <c r="E27" s="10">
        <f>SUM(E23:E26)</f>
        <v>1017.92</v>
      </c>
      <c r="F27" s="14">
        <f t="shared" ref="F27:F29" si="5">E27/$D$3*100</f>
        <v>51.03788532119291</v>
      </c>
      <c r="G27" s="39"/>
      <c r="I27" s="53" t="s">
        <v>59</v>
      </c>
      <c r="J27" s="57">
        <v>2000</v>
      </c>
    </row>
    <row r="28" spans="1:16" x14ac:dyDescent="0.2">
      <c r="A28" s="1" t="str">
        <f t="shared" si="0"/>
        <v/>
      </c>
      <c r="C28" s="34"/>
      <c r="D28" s="33"/>
      <c r="E28" s="31"/>
      <c r="F28" s="32"/>
      <c r="I28" s="53" t="s">
        <v>60</v>
      </c>
      <c r="J28" s="57">
        <v>3500</v>
      </c>
    </row>
    <row r="29" spans="1:16" ht="13.5" thickBot="1" x14ac:dyDescent="0.25">
      <c r="A29" s="1" t="str">
        <f t="shared" si="0"/>
        <v/>
      </c>
      <c r="C29" s="125" t="s">
        <v>20</v>
      </c>
      <c r="D29" s="126"/>
      <c r="E29" s="18">
        <f>SUM(E7:E14,E17:E20,E23:E26)</f>
        <v>2222.92</v>
      </c>
      <c r="F29" s="56">
        <f t="shared" si="5"/>
        <v>111.45584725536992</v>
      </c>
    </row>
    <row r="30" spans="1:16" x14ac:dyDescent="0.2">
      <c r="A30" s="1" t="str">
        <f t="shared" si="0"/>
        <v/>
      </c>
    </row>
  </sheetData>
  <mergeCells count="5">
    <mergeCell ref="C29:D29"/>
    <mergeCell ref="I5:J5"/>
    <mergeCell ref="I12:J12"/>
    <mergeCell ref="I21:J21"/>
    <mergeCell ref="N12:P12"/>
  </mergeCells>
  <phoneticPr fontId="19" type="noConversion"/>
  <conditionalFormatting sqref="F7:F14 F16 F18:F28">
    <cfRule type="cellIs" dxfId="124" priority="8" stopIfTrue="1" operator="greaterThan">
      <formula>15</formula>
    </cfRule>
  </conditionalFormatting>
  <conditionalFormatting sqref="J3 L3">
    <cfRule type="cellIs" dxfId="123" priority="10" stopIfTrue="1" operator="lessThan">
      <formula>0</formula>
    </cfRule>
  </conditionalFormatting>
  <conditionalFormatting sqref="E8:E14 E23:E27">
    <cfRule type="cellIs" dxfId="122" priority="7" stopIfTrue="1" operator="greaterThan">
      <formula>400</formula>
    </cfRule>
  </conditionalFormatting>
  <conditionalFormatting sqref="F17">
    <cfRule type="cellIs" dxfId="121" priority="9" stopIfTrue="1" operator="lessThan">
      <formula>15</formula>
    </cfRule>
    <cfRule type="cellIs" dxfId="120" priority="11" stopIfTrue="1" operator="between">
      <formula>15</formula>
      <formula>19</formula>
    </cfRule>
    <cfRule type="cellIs" dxfId="119" priority="11" stopIfTrue="1" operator="greaterThanOrEqual">
      <formula>20</formula>
    </cfRule>
  </conditionalFormatting>
  <conditionalFormatting sqref="E15 E27">
    <cfRule type="cellIs" dxfId="118" priority="5" operator="greaterThan">
      <formula>1100</formula>
    </cfRule>
  </conditionalFormatting>
  <conditionalFormatting sqref="E21">
    <cfRule type="cellIs" dxfId="117" priority="4" operator="lessThan">
      <formula>250</formula>
    </cfRule>
  </conditionalFormatting>
  <conditionalFormatting sqref="G7:G20 G23:G27">
    <cfRule type="cellIs" dxfId="116" priority="2" stopIfTrue="1" operator="equal">
      <formula>"ok"</formula>
    </cfRule>
  </conditionalFormatting>
  <conditionalFormatting sqref="G21">
    <cfRule type="cellIs" dxfId="115" priority="1" stopIfTrue="1" operator="equal">
      <formula>"ok"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P47"/>
  <sheetViews>
    <sheetView topLeftCell="C13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140625" style="1"/>
    <col min="12" max="12" width="8.28515625" style="1" customWidth="1"/>
    <col min="13" max="13" width="9.140625" style="1"/>
    <col min="14" max="14" width="8.7109375" style="1" bestFit="1" customWidth="1"/>
    <col min="15" max="16" width="9.42578125" style="1" bestFit="1" customWidth="1"/>
    <col min="17" max="16384" width="9.140625" style="1"/>
  </cols>
  <sheetData>
    <row r="1" spans="1:16" x14ac:dyDescent="0.2">
      <c r="C1" s="3"/>
    </row>
    <row r="2" spans="1:16" x14ac:dyDescent="0.2">
      <c r="C2" s="23" t="s">
        <v>29</v>
      </c>
      <c r="D2" s="24" t="s">
        <v>28</v>
      </c>
      <c r="E2" s="2"/>
      <c r="F2" s="3"/>
      <c r="H2" s="25" t="s">
        <v>55</v>
      </c>
      <c r="J2" s="26" t="s">
        <v>56</v>
      </c>
      <c r="L2" s="8" t="s">
        <v>0</v>
      </c>
    </row>
    <row r="3" spans="1:16" x14ac:dyDescent="0.2">
      <c r="C3" s="16">
        <v>7563</v>
      </c>
      <c r="D3" s="16">
        <v>5652.94</v>
      </c>
      <c r="E3" s="2"/>
      <c r="F3" s="5"/>
      <c r="G3" s="4"/>
      <c r="H3" s="16">
        <f>D3-SUMIF(D7:D29,40663,E7:E29)</f>
        <v>4408.6399999999994</v>
      </c>
      <c r="I3" s="4"/>
      <c r="J3" s="19">
        <f>D3-E30</f>
        <v>674.45999999999913</v>
      </c>
      <c r="K3" s="20"/>
      <c r="L3" s="21">
        <f>J3/C3*100</f>
        <v>8.9178897262990766</v>
      </c>
      <c r="M3" s="4"/>
    </row>
    <row r="4" spans="1:16" ht="13.5" thickBot="1" x14ac:dyDescent="0.25">
      <c r="E4" s="2"/>
      <c r="F4" s="3"/>
      <c r="H4" s="40"/>
    </row>
    <row r="5" spans="1:16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6" x14ac:dyDescent="0.2">
      <c r="A6" s="1" t="str">
        <f t="shared" ref="A6" si="0">CONCATENATE(B6,G6)</f>
        <v/>
      </c>
      <c r="C6" s="46" t="s">
        <v>38</v>
      </c>
      <c r="D6" s="27"/>
      <c r="E6" s="28"/>
      <c r="F6" s="29"/>
      <c r="H6" s="40"/>
      <c r="I6" s="35" t="s">
        <v>38</v>
      </c>
      <c r="J6" s="37">
        <f>SUMIF(G7:G14,"",E7:E14)</f>
        <v>41.2</v>
      </c>
    </row>
    <row r="7" spans="1:16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40663</v>
      </c>
      <c r="E7" s="10">
        <f>C3*10%</f>
        <v>756.30000000000007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SUMIF(G17:G20,"",E17:E20)</f>
        <v>0</v>
      </c>
      <c r="L7" s="50"/>
    </row>
    <row r="8" spans="1:16" x14ac:dyDescent="0.2">
      <c r="A8" s="1" t="str">
        <f t="shared" ref="A8:A33" si="1">CONCATENATE(B8,G8)</f>
        <v>ok</v>
      </c>
      <c r="C8" s="47" t="s">
        <v>31</v>
      </c>
      <c r="D8" s="22">
        <v>40663</v>
      </c>
      <c r="E8" s="10">
        <v>277</v>
      </c>
      <c r="F8" s="14">
        <f t="shared" ref="F8:F30" si="2">E8/$D$3*100</f>
        <v>4.9001050780655735</v>
      </c>
      <c r="G8" s="2" t="s">
        <v>33</v>
      </c>
      <c r="I8" s="35" t="s">
        <v>44</v>
      </c>
      <c r="J8" s="37">
        <f>SUMIF(G23:G27,"",E23:E27)</f>
        <v>0</v>
      </c>
      <c r="L8" s="50"/>
    </row>
    <row r="9" spans="1:16" x14ac:dyDescent="0.2">
      <c r="A9" s="1" t="str">
        <f t="shared" si="1"/>
        <v>ok</v>
      </c>
      <c r="C9" s="47" t="s">
        <v>32</v>
      </c>
      <c r="D9" s="22">
        <v>40663</v>
      </c>
      <c r="E9" s="10">
        <v>62.5</v>
      </c>
      <c r="F9" s="14">
        <f t="shared" si="2"/>
        <v>1.1056193768198495</v>
      </c>
      <c r="G9" s="51" t="s">
        <v>33</v>
      </c>
      <c r="I9" s="35"/>
      <c r="J9" s="37"/>
    </row>
    <row r="10" spans="1:16" x14ac:dyDescent="0.2">
      <c r="A10" s="1" t="str">
        <f t="shared" si="1"/>
        <v>Simok</v>
      </c>
      <c r="B10" s="53" t="s">
        <v>50</v>
      </c>
      <c r="C10" s="47" t="s">
        <v>8</v>
      </c>
      <c r="D10" s="22">
        <v>40663</v>
      </c>
      <c r="E10" s="10">
        <v>100</v>
      </c>
      <c r="F10" s="14">
        <f t="shared" si="2"/>
        <v>1.7689910029117593</v>
      </c>
      <c r="G10" s="51" t="s">
        <v>33</v>
      </c>
      <c r="I10" s="36" t="s">
        <v>45</v>
      </c>
      <c r="J10" s="38">
        <f>SUM(J6:J9)</f>
        <v>41.2</v>
      </c>
    </row>
    <row r="11" spans="1:16" x14ac:dyDescent="0.2">
      <c r="A11" s="1" t="str">
        <f t="shared" si="1"/>
        <v>ok</v>
      </c>
      <c r="B11" s="41"/>
      <c r="C11" s="47" t="s">
        <v>9</v>
      </c>
      <c r="D11" s="22">
        <v>40663</v>
      </c>
      <c r="E11" s="10">
        <v>28.5</v>
      </c>
      <c r="F11" s="14">
        <f t="shared" si="2"/>
        <v>0.50416243582985143</v>
      </c>
      <c r="G11" s="51" t="s">
        <v>33</v>
      </c>
    </row>
    <row r="12" spans="1:16" x14ac:dyDescent="0.2">
      <c r="A12" s="1" t="str">
        <f t="shared" si="1"/>
        <v>Simok</v>
      </c>
      <c r="B12" s="53" t="s">
        <v>50</v>
      </c>
      <c r="C12" s="47" t="s">
        <v>34</v>
      </c>
      <c r="D12" s="22">
        <v>40663</v>
      </c>
      <c r="E12" s="10">
        <v>20</v>
      </c>
      <c r="F12" s="14">
        <f t="shared" si="2"/>
        <v>0.35379820058235184</v>
      </c>
      <c r="G12" s="51" t="s">
        <v>33</v>
      </c>
      <c r="I12" s="123" t="s">
        <v>35</v>
      </c>
      <c r="J12" s="124"/>
      <c r="N12" s="123" t="s">
        <v>61</v>
      </c>
      <c r="O12" s="130"/>
      <c r="P12" s="124"/>
    </row>
    <row r="13" spans="1:16" x14ac:dyDescent="0.2">
      <c r="A13" s="1" t="str">
        <f t="shared" si="1"/>
        <v>ok</v>
      </c>
      <c r="B13" s="41"/>
      <c r="C13" s="47" t="s">
        <v>36</v>
      </c>
      <c r="D13" s="22">
        <v>40666</v>
      </c>
      <c r="E13" s="10">
        <v>255.98</v>
      </c>
      <c r="F13" s="14">
        <f t="shared" si="2"/>
        <v>4.5282631692535213</v>
      </c>
      <c r="G13" s="51" t="s">
        <v>33</v>
      </c>
      <c r="I13" s="35" t="s">
        <v>38</v>
      </c>
      <c r="J13" s="37">
        <f>SUMIF(A7:A15,"sim",E7:E16)</f>
        <v>0</v>
      </c>
      <c r="N13" s="58"/>
      <c r="O13" s="64" t="s">
        <v>66</v>
      </c>
      <c r="P13" s="65" t="s">
        <v>1</v>
      </c>
    </row>
    <row r="14" spans="1:16" x14ac:dyDescent="0.2">
      <c r="A14" s="1" t="str">
        <f t="shared" si="1"/>
        <v/>
      </c>
      <c r="C14" s="47" t="s">
        <v>53</v>
      </c>
      <c r="D14" s="52">
        <v>40683</v>
      </c>
      <c r="E14" s="10">
        <f t="shared" ref="E14" si="3">41.2</f>
        <v>41.2</v>
      </c>
      <c r="F14" s="14">
        <f t="shared" si="2"/>
        <v>0.72882429319964492</v>
      </c>
      <c r="G14" s="2"/>
      <c r="I14" s="35" t="s">
        <v>41</v>
      </c>
      <c r="J14" s="37">
        <f>SUMIF(A17:A21,"sim",E17:E22)</f>
        <v>0</v>
      </c>
      <c r="N14" s="58" t="s">
        <v>62</v>
      </c>
      <c r="O14" s="59">
        <v>61</v>
      </c>
      <c r="P14" s="60"/>
    </row>
    <row r="15" spans="1:16" x14ac:dyDescent="0.2">
      <c r="A15" s="1" t="str">
        <f t="shared" si="1"/>
        <v/>
      </c>
      <c r="C15" s="55" t="s">
        <v>57</v>
      </c>
      <c r="D15" s="54"/>
      <c r="E15" s="10">
        <f>SUM(E7:E14)</f>
        <v>1541.4800000000002</v>
      </c>
      <c r="F15" s="14">
        <f t="shared" si="2"/>
        <v>27.268642511684192</v>
      </c>
      <c r="G15" s="2"/>
      <c r="I15" s="35" t="s">
        <v>44</v>
      </c>
      <c r="J15" s="37">
        <f>SUMIF(A23:A28,"sim",E23:E29)</f>
        <v>0</v>
      </c>
      <c r="N15" s="58" t="s">
        <v>63</v>
      </c>
      <c r="O15" s="59">
        <v>61</v>
      </c>
      <c r="P15" s="60"/>
    </row>
    <row r="16" spans="1:16" x14ac:dyDescent="0.2">
      <c r="A16" s="1" t="str">
        <f t="shared" si="1"/>
        <v/>
      </c>
      <c r="C16" s="46" t="s">
        <v>41</v>
      </c>
      <c r="D16" s="30"/>
      <c r="E16" s="31"/>
      <c r="F16" s="32"/>
      <c r="G16" s="39"/>
      <c r="I16" s="35"/>
      <c r="J16" s="37"/>
      <c r="N16" s="35"/>
      <c r="O16" s="61"/>
      <c r="P16" s="60"/>
    </row>
    <row r="17" spans="1:16" x14ac:dyDescent="0.2">
      <c r="A17" s="1" t="str">
        <f t="shared" si="1"/>
        <v>ok</v>
      </c>
      <c r="B17" s="41"/>
      <c r="C17" s="47" t="s">
        <v>42</v>
      </c>
      <c r="D17" s="22">
        <v>40693</v>
      </c>
      <c r="E17" s="10">
        <v>0</v>
      </c>
      <c r="F17" s="14">
        <f>E17/$D$3*100</f>
        <v>0</v>
      </c>
      <c r="G17" s="51" t="s">
        <v>33</v>
      </c>
      <c r="I17" s="36" t="s">
        <v>45</v>
      </c>
      <c r="J17" s="38">
        <f>SUM(J13:J16)</f>
        <v>0</v>
      </c>
      <c r="N17" s="36" t="s">
        <v>45</v>
      </c>
      <c r="O17" s="62">
        <f>SUM(O14:O16)</f>
        <v>122</v>
      </c>
      <c r="P17" s="63">
        <f>SUM(P13:P16)</f>
        <v>0</v>
      </c>
    </row>
    <row r="18" spans="1:16" x14ac:dyDescent="0.2">
      <c r="A18" s="1" t="str">
        <f t="shared" si="1"/>
        <v>Simok</v>
      </c>
      <c r="B18" s="53" t="s">
        <v>50</v>
      </c>
      <c r="C18" s="47" t="s">
        <v>26</v>
      </c>
      <c r="D18" s="22">
        <v>40693</v>
      </c>
      <c r="E18" s="10">
        <v>100</v>
      </c>
      <c r="F18" s="14">
        <f>E18/$D$3*100</f>
        <v>1.7689910029117593</v>
      </c>
      <c r="G18" s="51" t="s">
        <v>33</v>
      </c>
    </row>
    <row r="19" spans="1:16" x14ac:dyDescent="0.2">
      <c r="A19" s="1" t="str">
        <f t="shared" si="1"/>
        <v>Simok</v>
      </c>
      <c r="B19" s="53" t="s">
        <v>50</v>
      </c>
      <c r="C19" s="47" t="s">
        <v>27</v>
      </c>
      <c r="D19" s="22">
        <v>40693</v>
      </c>
      <c r="E19" s="10">
        <v>100</v>
      </c>
      <c r="F19" s="14">
        <f>E19/$D$3*100</f>
        <v>1.7689910029117593</v>
      </c>
      <c r="G19" s="51" t="s">
        <v>33</v>
      </c>
    </row>
    <row r="20" spans="1:16" x14ac:dyDescent="0.2">
      <c r="A20" s="1" t="str">
        <f t="shared" si="1"/>
        <v>Simok</v>
      </c>
      <c r="B20" s="53" t="s">
        <v>50</v>
      </c>
      <c r="C20" s="47" t="s">
        <v>39</v>
      </c>
      <c r="D20" s="22">
        <v>40693</v>
      </c>
      <c r="E20" s="10">
        <v>50</v>
      </c>
      <c r="F20" s="14">
        <f>E20/$D$3*100</f>
        <v>0.88449550145587963</v>
      </c>
      <c r="G20" s="51" t="s">
        <v>33</v>
      </c>
    </row>
    <row r="21" spans="1:16" x14ac:dyDescent="0.2">
      <c r="A21" s="1" t="str">
        <f t="shared" si="1"/>
        <v/>
      </c>
      <c r="B21" s="53"/>
      <c r="C21" s="55" t="s">
        <v>57</v>
      </c>
      <c r="D21" s="54"/>
      <c r="E21" s="10">
        <f>SUM(E17:E20)</f>
        <v>250</v>
      </c>
      <c r="F21" s="14">
        <f t="shared" ref="F21" si="4">E21/$D$3*100</f>
        <v>4.4224775072793978</v>
      </c>
      <c r="G21" s="51"/>
      <c r="I21" s="123" t="s">
        <v>46</v>
      </c>
      <c r="J21" s="124"/>
    </row>
    <row r="22" spans="1:16" x14ac:dyDescent="0.2">
      <c r="A22" s="1" t="str">
        <f t="shared" si="1"/>
        <v/>
      </c>
      <c r="B22" s="53"/>
      <c r="C22" s="46" t="s">
        <v>40</v>
      </c>
      <c r="D22" s="33"/>
      <c r="E22" s="31"/>
      <c r="F22" s="32"/>
      <c r="G22" s="51"/>
      <c r="I22" s="35" t="s">
        <v>3</v>
      </c>
      <c r="J22" s="49" t="s">
        <v>51</v>
      </c>
    </row>
    <row r="23" spans="1:16" x14ac:dyDescent="0.2">
      <c r="A23" s="1" t="str">
        <f t="shared" si="1"/>
        <v>ok</v>
      </c>
      <c r="C23" s="47" t="s">
        <v>10</v>
      </c>
      <c r="D23" s="22">
        <v>40693</v>
      </c>
      <c r="E23" s="10">
        <v>600</v>
      </c>
      <c r="F23" s="14">
        <f>E23/$D$3*100</f>
        <v>10.613946017470557</v>
      </c>
      <c r="G23" s="53" t="s">
        <v>33</v>
      </c>
      <c r="I23" s="48">
        <v>40602</v>
      </c>
      <c r="J23" s="37">
        <v>1950</v>
      </c>
    </row>
    <row r="24" spans="1:16" x14ac:dyDescent="0.2">
      <c r="A24" s="1" t="str">
        <f t="shared" si="1"/>
        <v>ok</v>
      </c>
      <c r="C24" s="47" t="s">
        <v>37</v>
      </c>
      <c r="D24" s="22">
        <v>40693</v>
      </c>
      <c r="E24" s="10">
        <v>17</v>
      </c>
      <c r="F24" s="14">
        <f t="shared" si="2"/>
        <v>0.30072847049499912</v>
      </c>
      <c r="G24" s="53" t="s">
        <v>33</v>
      </c>
      <c r="I24" s="48"/>
      <c r="J24" s="37">
        <v>4704</v>
      </c>
    </row>
    <row r="25" spans="1:16" x14ac:dyDescent="0.2">
      <c r="C25" s="47" t="s">
        <v>76</v>
      </c>
      <c r="D25" s="22">
        <v>40651</v>
      </c>
      <c r="E25" s="10">
        <v>1830</v>
      </c>
      <c r="F25" s="14">
        <f t="shared" si="2"/>
        <v>32.372535353285201</v>
      </c>
      <c r="G25" s="53" t="s">
        <v>33</v>
      </c>
      <c r="I25" s="48"/>
      <c r="J25" s="37"/>
    </row>
    <row r="26" spans="1:16" x14ac:dyDescent="0.2">
      <c r="A26" s="1" t="str">
        <f t="shared" si="1"/>
        <v>ok</v>
      </c>
      <c r="C26" s="47" t="s">
        <v>68</v>
      </c>
      <c r="D26" s="22">
        <v>40651</v>
      </c>
      <c r="E26" s="10">
        <v>370</v>
      </c>
      <c r="F26" s="14">
        <f t="shared" ref="F26" si="5">E26/$D$3*100</f>
        <v>6.5452667107735092</v>
      </c>
      <c r="G26" s="53" t="s">
        <v>33</v>
      </c>
      <c r="I26" s="48"/>
      <c r="J26" s="37">
        <v>122</v>
      </c>
    </row>
    <row r="27" spans="1:16" x14ac:dyDescent="0.2">
      <c r="A27" s="1" t="str">
        <f t="shared" si="1"/>
        <v>ok</v>
      </c>
      <c r="B27" s="41"/>
      <c r="C27" s="47" t="s">
        <v>58</v>
      </c>
      <c r="D27" s="22">
        <v>40693</v>
      </c>
      <c r="E27" s="10">
        <v>370</v>
      </c>
      <c r="F27" s="14">
        <f t="shared" si="2"/>
        <v>6.5452667107735092</v>
      </c>
      <c r="G27" s="53" t="s">
        <v>33</v>
      </c>
      <c r="I27" s="36"/>
      <c r="J27" s="38">
        <v>50</v>
      </c>
      <c r="L27" s="50"/>
    </row>
    <row r="28" spans="1:16" x14ac:dyDescent="0.2">
      <c r="A28" s="1" t="str">
        <f t="shared" si="1"/>
        <v/>
      </c>
      <c r="B28" s="41"/>
      <c r="C28" s="55" t="s">
        <v>57</v>
      </c>
      <c r="D28" s="54"/>
      <c r="E28" s="10">
        <f>SUM(E23:E27)</f>
        <v>3187</v>
      </c>
      <c r="F28" s="14">
        <f t="shared" si="2"/>
        <v>56.377743262797772</v>
      </c>
      <c r="L28" s="50"/>
    </row>
    <row r="29" spans="1:16" x14ac:dyDescent="0.2">
      <c r="A29" s="1" t="str">
        <f t="shared" si="1"/>
        <v/>
      </c>
      <c r="C29" s="34"/>
      <c r="D29" s="33"/>
      <c r="E29" s="31"/>
      <c r="F29" s="32"/>
      <c r="G29" s="2"/>
    </row>
    <row r="30" spans="1:16" ht="13.5" thickBot="1" x14ac:dyDescent="0.25">
      <c r="A30" s="1" t="str">
        <f t="shared" si="1"/>
        <v/>
      </c>
      <c r="C30" s="125" t="s">
        <v>20</v>
      </c>
      <c r="D30" s="126"/>
      <c r="E30" s="18">
        <f>SUM(E7:E14,E17:E20,E23:E27)</f>
        <v>4978.4800000000005</v>
      </c>
      <c r="F30" s="56">
        <f t="shared" si="2"/>
        <v>88.068863281761367</v>
      </c>
      <c r="G30" s="39"/>
    </row>
    <row r="31" spans="1:16" x14ac:dyDescent="0.2">
      <c r="A31" s="1" t="str">
        <f t="shared" si="1"/>
        <v/>
      </c>
      <c r="G31" s="39"/>
    </row>
    <row r="32" spans="1:16" x14ac:dyDescent="0.2">
      <c r="A32" s="1" t="str">
        <f t="shared" si="1"/>
        <v/>
      </c>
      <c r="G32" s="39"/>
    </row>
    <row r="33" spans="1:5" x14ac:dyDescent="0.2">
      <c r="A33" s="1" t="str">
        <f t="shared" si="1"/>
        <v/>
      </c>
    </row>
    <row r="37" spans="1:5" x14ac:dyDescent="0.2">
      <c r="C37" s="53" t="s">
        <v>69</v>
      </c>
      <c r="E37" s="16">
        <v>3382.5</v>
      </c>
    </row>
    <row r="38" spans="1:5" x14ac:dyDescent="0.2">
      <c r="C38" s="53" t="s">
        <v>23</v>
      </c>
      <c r="E38" s="4">
        <f>E37*10%</f>
        <v>338.25</v>
      </c>
    </row>
    <row r="39" spans="1:5" x14ac:dyDescent="0.2">
      <c r="C39" s="53" t="s">
        <v>68</v>
      </c>
      <c r="E39" s="4">
        <v>365</v>
      </c>
    </row>
    <row r="40" spans="1:5" x14ac:dyDescent="0.2">
      <c r="C40" s="53" t="s">
        <v>58</v>
      </c>
      <c r="E40" s="4">
        <v>370</v>
      </c>
    </row>
    <row r="41" spans="1:5" x14ac:dyDescent="0.2">
      <c r="C41" s="53" t="s">
        <v>70</v>
      </c>
      <c r="E41" s="4">
        <v>255.98</v>
      </c>
    </row>
    <row r="42" spans="1:5" x14ac:dyDescent="0.2">
      <c r="C42" s="53" t="s">
        <v>10</v>
      </c>
      <c r="E42" s="4">
        <v>8.42</v>
      </c>
    </row>
    <row r="43" spans="1:5" x14ac:dyDescent="0.2">
      <c r="C43" s="53" t="s">
        <v>73</v>
      </c>
      <c r="E43" s="4">
        <v>44.89</v>
      </c>
    </row>
    <row r="45" spans="1:5" x14ac:dyDescent="0.2">
      <c r="C45" s="53" t="s">
        <v>72</v>
      </c>
      <c r="E45" s="4">
        <f>SUM(E38:E44)</f>
        <v>1382.5400000000002</v>
      </c>
    </row>
    <row r="47" spans="1:5" x14ac:dyDescent="0.2">
      <c r="C47" s="53" t="s">
        <v>71</v>
      </c>
      <c r="E47" s="4">
        <f>E37-E45</f>
        <v>1999.9599999999998</v>
      </c>
    </row>
  </sheetData>
  <mergeCells count="5">
    <mergeCell ref="I5:J5"/>
    <mergeCell ref="I12:J12"/>
    <mergeCell ref="I21:J21"/>
    <mergeCell ref="C30:D30"/>
    <mergeCell ref="N12:P12"/>
  </mergeCells>
  <phoneticPr fontId="19" type="noConversion"/>
  <conditionalFormatting sqref="G24:G29 G7:G21">
    <cfRule type="cellIs" dxfId="114" priority="20" stopIfTrue="1" operator="equal">
      <formula>"ok"</formula>
    </cfRule>
  </conditionalFormatting>
  <conditionalFormatting sqref="F7:F14 F17:F29">
    <cfRule type="cellIs" dxfId="113" priority="19" stopIfTrue="1" operator="greaterThan">
      <formula>15</formula>
    </cfRule>
  </conditionalFormatting>
  <conditionalFormatting sqref="J3 L3">
    <cfRule type="cellIs" dxfId="112" priority="18" stopIfTrue="1" operator="lessThan">
      <formula>0</formula>
    </cfRule>
  </conditionalFormatting>
  <conditionalFormatting sqref="E8:E14 E16:E20 E22:E25">
    <cfRule type="cellIs" dxfId="111" priority="17" stopIfTrue="1" operator="greaterThan">
      <formula>300</formula>
    </cfRule>
  </conditionalFormatting>
  <conditionalFormatting sqref="E8:E14 E21:E25 E27:E28">
    <cfRule type="cellIs" dxfId="110" priority="16" stopIfTrue="1" operator="greaterThan">
      <formula>400</formula>
    </cfRule>
  </conditionalFormatting>
  <conditionalFormatting sqref="F17">
    <cfRule type="cellIs" dxfId="109" priority="7" stopIfTrue="1" operator="lessThan">
      <formula>15</formula>
    </cfRule>
    <cfRule type="cellIs" dxfId="108" priority="8" stopIfTrue="1" operator="between">
      <formula>15</formula>
      <formula>19</formula>
    </cfRule>
    <cfRule type="cellIs" dxfId="107" priority="9" stopIfTrue="1" operator="greaterThanOrEqual">
      <formula>20</formula>
    </cfRule>
  </conditionalFormatting>
  <conditionalFormatting sqref="E28">
    <cfRule type="cellIs" dxfId="106" priority="6" operator="greaterThan">
      <formula>1100</formula>
    </cfRule>
  </conditionalFormatting>
  <conditionalFormatting sqref="E21">
    <cfRule type="cellIs" dxfId="105" priority="5" operator="lessThan">
      <formula>250</formula>
    </cfRule>
  </conditionalFormatting>
  <conditionalFormatting sqref="E15">
    <cfRule type="cellIs" dxfId="104" priority="3" operator="greaterThan">
      <formula>1150</formula>
    </cfRule>
  </conditionalFormatting>
  <conditionalFormatting sqref="E26">
    <cfRule type="cellIs" dxfId="103" priority="2" stopIfTrue="1" operator="greaterThan">
      <formula>400</formula>
    </cfRule>
  </conditionalFormatting>
  <conditionalFormatting sqref="G23">
    <cfRule type="cellIs" dxfId="102" priority="1" stopIfTrue="1" operator="equal">
      <formula>"ok"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P45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42578125" style="1" bestFit="1" customWidth="1"/>
    <col min="12" max="12" width="8.28515625" style="1" customWidth="1"/>
    <col min="13" max="13" width="9.28515625" style="1" bestFit="1" customWidth="1"/>
    <col min="14" max="14" width="12.28515625" style="1" bestFit="1" customWidth="1"/>
    <col min="15" max="15" width="12.28515625" style="1" customWidth="1"/>
    <col min="16" max="16" width="11" style="1" bestFit="1" customWidth="1"/>
    <col min="17" max="16384" width="9.140625" style="1"/>
  </cols>
  <sheetData>
    <row r="1" spans="1:16" x14ac:dyDescent="0.2">
      <c r="C1" s="3"/>
    </row>
    <row r="2" spans="1:16" x14ac:dyDescent="0.2">
      <c r="C2" s="23" t="s">
        <v>29</v>
      </c>
      <c r="D2" s="24" t="s">
        <v>28</v>
      </c>
      <c r="E2" s="2"/>
      <c r="F2" s="3"/>
      <c r="H2" s="25" t="s">
        <v>56</v>
      </c>
      <c r="J2" s="26" t="s">
        <v>79</v>
      </c>
      <c r="L2" s="8" t="s">
        <v>0</v>
      </c>
    </row>
    <row r="3" spans="1:16" x14ac:dyDescent="0.2">
      <c r="C3" s="16">
        <v>4000</v>
      </c>
      <c r="D3" s="16">
        <v>2395</v>
      </c>
      <c r="E3" s="2"/>
      <c r="F3" s="5"/>
      <c r="G3" s="4"/>
      <c r="H3" s="16">
        <f>D3-SUMIF(D7:D29,40633,E7:E29)</f>
        <v>2395</v>
      </c>
      <c r="I3" s="4"/>
      <c r="J3" s="19">
        <f>D3-E30</f>
        <v>208.26000000000022</v>
      </c>
      <c r="K3" s="20"/>
      <c r="L3" s="21">
        <f>J3/C3*100</f>
        <v>5.2065000000000055</v>
      </c>
      <c r="M3" s="4"/>
    </row>
    <row r="4" spans="1:16" ht="13.5" thickBot="1" x14ac:dyDescent="0.25">
      <c r="E4" s="2"/>
      <c r="F4" s="3"/>
      <c r="H4" s="40"/>
    </row>
    <row r="5" spans="1:16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6" x14ac:dyDescent="0.2">
      <c r="A6" s="1" t="str">
        <f t="shared" ref="A6" si="0">CONCATENATE(B6,G6)</f>
        <v/>
      </c>
      <c r="C6" s="46" t="s">
        <v>38</v>
      </c>
      <c r="D6" s="27"/>
      <c r="E6" s="28"/>
      <c r="F6" s="29"/>
      <c r="I6" s="35" t="s">
        <v>38</v>
      </c>
      <c r="J6" s="37">
        <f>SUMIF(G7:G13,"",E7:E13)</f>
        <v>0</v>
      </c>
    </row>
    <row r="7" spans="1:16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40694</v>
      </c>
      <c r="E7" s="10">
        <f>C3*10%</f>
        <v>400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SUMIF(G16:G19,"",E16:E19)</f>
        <v>0</v>
      </c>
      <c r="L7" s="50"/>
    </row>
    <row r="8" spans="1:16" x14ac:dyDescent="0.2">
      <c r="A8" s="1" t="str">
        <f t="shared" ref="A8:A32" si="1">CONCATENATE(B8,G8)</f>
        <v>ok</v>
      </c>
      <c r="C8" s="47" t="s">
        <v>31</v>
      </c>
      <c r="D8" s="22">
        <v>40694</v>
      </c>
      <c r="E8" s="10">
        <v>277</v>
      </c>
      <c r="F8" s="14">
        <f t="shared" ref="F8:F30" si="2">E8/$D$3*100</f>
        <v>11.565762004175365</v>
      </c>
      <c r="G8" s="2" t="s">
        <v>33</v>
      </c>
      <c r="I8" s="35" t="s">
        <v>44</v>
      </c>
      <c r="J8" s="37">
        <f>SUMIF(G22:G27,"",E22:E27)</f>
        <v>0</v>
      </c>
      <c r="L8" s="50"/>
    </row>
    <row r="9" spans="1:16" x14ac:dyDescent="0.2">
      <c r="A9" s="1" t="str">
        <f t="shared" si="1"/>
        <v>Simok</v>
      </c>
      <c r="B9" s="53" t="s">
        <v>50</v>
      </c>
      <c r="C9" s="47" t="s">
        <v>8</v>
      </c>
      <c r="D9" s="22">
        <v>40694</v>
      </c>
      <c r="E9" s="10">
        <v>100</v>
      </c>
      <c r="F9" s="14">
        <f t="shared" si="2"/>
        <v>4.1753653444676413</v>
      </c>
      <c r="G9" s="51" t="s">
        <v>33</v>
      </c>
      <c r="I9" s="35"/>
      <c r="J9" s="37"/>
    </row>
    <row r="10" spans="1:16" x14ac:dyDescent="0.2">
      <c r="A10" s="1" t="str">
        <f t="shared" si="1"/>
        <v>ok</v>
      </c>
      <c r="B10" s="41"/>
      <c r="C10" s="47" t="s">
        <v>9</v>
      </c>
      <c r="D10" s="22">
        <v>40694</v>
      </c>
      <c r="E10" s="10">
        <v>28.5</v>
      </c>
      <c r="F10" s="14">
        <f t="shared" si="2"/>
        <v>1.1899791231732777</v>
      </c>
      <c r="G10" s="51" t="s">
        <v>33</v>
      </c>
      <c r="I10" s="36" t="s">
        <v>45</v>
      </c>
      <c r="J10" s="38">
        <f>SUM(J6:J8)</f>
        <v>0</v>
      </c>
    </row>
    <row r="11" spans="1:16" x14ac:dyDescent="0.2">
      <c r="A11" s="1" t="str">
        <f t="shared" si="1"/>
        <v>Simok</v>
      </c>
      <c r="B11" s="53" t="s">
        <v>50</v>
      </c>
      <c r="C11" s="47" t="s">
        <v>34</v>
      </c>
      <c r="D11" s="22">
        <v>40694</v>
      </c>
      <c r="E11" s="10">
        <v>20</v>
      </c>
      <c r="F11" s="14">
        <f t="shared" si="2"/>
        <v>0.83507306889352806</v>
      </c>
      <c r="G11" s="51" t="s">
        <v>33</v>
      </c>
      <c r="N11" s="123" t="s">
        <v>61</v>
      </c>
      <c r="O11" s="130"/>
      <c r="P11" s="124"/>
    </row>
    <row r="12" spans="1:16" x14ac:dyDescent="0.2">
      <c r="A12" s="1" t="str">
        <f t="shared" si="1"/>
        <v>ok</v>
      </c>
      <c r="B12" s="41"/>
      <c r="C12" s="47" t="s">
        <v>36</v>
      </c>
      <c r="D12" s="22">
        <v>40636</v>
      </c>
      <c r="E12" s="10">
        <v>167</v>
      </c>
      <c r="F12" s="14">
        <f t="shared" si="2"/>
        <v>6.9728601252609597</v>
      </c>
      <c r="G12" s="51" t="s">
        <v>33</v>
      </c>
      <c r="I12" s="123" t="s">
        <v>35</v>
      </c>
      <c r="J12" s="124"/>
      <c r="N12" s="58"/>
      <c r="O12" s="64" t="s">
        <v>66</v>
      </c>
      <c r="P12" s="65" t="s">
        <v>67</v>
      </c>
    </row>
    <row r="13" spans="1:16" x14ac:dyDescent="0.2">
      <c r="A13" s="1" t="str">
        <f t="shared" si="1"/>
        <v>ok</v>
      </c>
      <c r="C13" s="47" t="s">
        <v>53</v>
      </c>
      <c r="D13" s="52">
        <v>40653</v>
      </c>
      <c r="E13" s="10">
        <v>0</v>
      </c>
      <c r="F13" s="14">
        <f t="shared" si="2"/>
        <v>0</v>
      </c>
      <c r="G13" s="51" t="s">
        <v>33</v>
      </c>
      <c r="I13" s="35" t="s">
        <v>38</v>
      </c>
      <c r="J13" s="37">
        <f>SUMIF(A7:A15,"sim",E7:E15)</f>
        <v>0</v>
      </c>
      <c r="N13" s="58" t="s">
        <v>62</v>
      </c>
      <c r="O13" s="59">
        <v>61</v>
      </c>
      <c r="P13" s="60">
        <v>61</v>
      </c>
    </row>
    <row r="14" spans="1:16" x14ac:dyDescent="0.2">
      <c r="A14" s="1" t="str">
        <f t="shared" si="1"/>
        <v/>
      </c>
      <c r="C14" s="67" t="s">
        <v>57</v>
      </c>
      <c r="D14" s="54"/>
      <c r="E14" s="10">
        <f>SUM(E7:E13)</f>
        <v>992.5</v>
      </c>
      <c r="F14" s="14">
        <f t="shared" si="2"/>
        <v>41.440501043841337</v>
      </c>
      <c r="G14" s="51"/>
      <c r="I14" s="35" t="s">
        <v>41</v>
      </c>
      <c r="J14" s="37">
        <f>SUMIF(A16:A19,"sim",E16:E21)</f>
        <v>0</v>
      </c>
      <c r="N14" s="58" t="s">
        <v>63</v>
      </c>
      <c r="O14" s="59">
        <v>61</v>
      </c>
      <c r="P14" s="60">
        <v>61</v>
      </c>
    </row>
    <row r="15" spans="1:16" x14ac:dyDescent="0.2">
      <c r="A15" s="1" t="str">
        <f t="shared" si="1"/>
        <v/>
      </c>
      <c r="C15" s="46" t="s">
        <v>41</v>
      </c>
      <c r="D15" s="30"/>
      <c r="E15" s="31"/>
      <c r="F15" s="32"/>
      <c r="G15" s="51"/>
      <c r="I15" s="35" t="s">
        <v>44</v>
      </c>
      <c r="J15" s="37">
        <f>SUMIF(A22:A28,"sim",E22:E29)</f>
        <v>0</v>
      </c>
      <c r="N15" s="35"/>
      <c r="O15" s="61"/>
      <c r="P15" s="60"/>
    </row>
    <row r="16" spans="1:16" x14ac:dyDescent="0.2">
      <c r="A16" s="1" t="str">
        <f t="shared" si="1"/>
        <v>ok</v>
      </c>
      <c r="B16" s="41"/>
      <c r="C16" s="47" t="s">
        <v>42</v>
      </c>
      <c r="D16" s="22">
        <v>40694</v>
      </c>
      <c r="E16" s="10">
        <v>150</v>
      </c>
      <c r="F16" s="14">
        <f>E16/$D$3*100</f>
        <v>6.2630480167014611</v>
      </c>
      <c r="G16" s="51" t="s">
        <v>33</v>
      </c>
      <c r="I16" s="35"/>
      <c r="J16" s="37"/>
      <c r="N16" s="36" t="s">
        <v>45</v>
      </c>
      <c r="O16" s="62">
        <f>SUM(O13:O15)</f>
        <v>122</v>
      </c>
      <c r="P16" s="63">
        <f>SUM(P12:P15)</f>
        <v>122</v>
      </c>
    </row>
    <row r="17" spans="1:14" x14ac:dyDescent="0.2">
      <c r="A17" s="1" t="str">
        <f t="shared" si="1"/>
        <v>Simok</v>
      </c>
      <c r="B17" s="53" t="s">
        <v>50</v>
      </c>
      <c r="C17" s="47" t="s">
        <v>26</v>
      </c>
      <c r="D17" s="22">
        <v>40694</v>
      </c>
      <c r="E17" s="10">
        <v>100</v>
      </c>
      <c r="F17" s="14">
        <f>E17/$D$3*100</f>
        <v>4.1753653444676413</v>
      </c>
      <c r="G17" s="51" t="s">
        <v>33</v>
      </c>
      <c r="I17" s="36" t="s">
        <v>45</v>
      </c>
      <c r="J17" s="38">
        <f>SUM(J13:J16)</f>
        <v>0</v>
      </c>
    </row>
    <row r="18" spans="1:14" x14ac:dyDescent="0.2">
      <c r="A18" s="1" t="str">
        <f t="shared" si="1"/>
        <v>Simok</v>
      </c>
      <c r="B18" s="53" t="s">
        <v>50</v>
      </c>
      <c r="C18" s="47" t="s">
        <v>27</v>
      </c>
      <c r="D18" s="22">
        <v>40694</v>
      </c>
      <c r="E18" s="10">
        <v>100</v>
      </c>
      <c r="F18" s="14">
        <f>E18/$D$3*100</f>
        <v>4.1753653444676413</v>
      </c>
      <c r="G18" s="51" t="s">
        <v>33</v>
      </c>
    </row>
    <row r="19" spans="1:14" x14ac:dyDescent="0.2">
      <c r="A19" s="1" t="str">
        <f t="shared" si="1"/>
        <v>Simok</v>
      </c>
      <c r="B19" s="53" t="s">
        <v>50</v>
      </c>
      <c r="C19" s="47" t="s">
        <v>39</v>
      </c>
      <c r="D19" s="22">
        <v>40694</v>
      </c>
      <c r="E19" s="10">
        <v>100</v>
      </c>
      <c r="F19" s="14">
        <f>E19/$D$3*100</f>
        <v>4.1753653444676413</v>
      </c>
      <c r="G19" s="51" t="s">
        <v>33</v>
      </c>
    </row>
    <row r="20" spans="1:14" x14ac:dyDescent="0.2">
      <c r="A20" s="1" t="str">
        <f t="shared" si="1"/>
        <v/>
      </c>
      <c r="B20" s="53"/>
      <c r="C20" s="67" t="s">
        <v>57</v>
      </c>
      <c r="D20" s="54"/>
      <c r="E20" s="10">
        <f>SUM(E16:E19)</f>
        <v>450</v>
      </c>
      <c r="F20" s="14">
        <f t="shared" ref="F20" si="3">E20/$D$3*100</f>
        <v>18.789144050104383</v>
      </c>
      <c r="G20" s="51"/>
      <c r="N20" s="50"/>
    </row>
    <row r="21" spans="1:14" x14ac:dyDescent="0.2">
      <c r="A21" s="1" t="str">
        <f t="shared" si="1"/>
        <v/>
      </c>
      <c r="B21" s="53"/>
      <c r="C21" s="46" t="s">
        <v>40</v>
      </c>
      <c r="D21" s="33"/>
      <c r="E21" s="31"/>
      <c r="F21" s="32"/>
      <c r="I21" s="123" t="s">
        <v>46</v>
      </c>
      <c r="J21" s="124"/>
      <c r="N21" s="50"/>
    </row>
    <row r="22" spans="1:14" x14ac:dyDescent="0.2">
      <c r="A22" s="1" t="str">
        <f t="shared" si="1"/>
        <v>ok</v>
      </c>
      <c r="C22" s="47" t="s">
        <v>77</v>
      </c>
      <c r="D22" s="22">
        <v>40694</v>
      </c>
      <c r="E22" s="10">
        <v>900</v>
      </c>
      <c r="F22" s="14">
        <f>E22/$D$3*100</f>
        <v>37.578288100208766</v>
      </c>
      <c r="G22" s="51" t="s">
        <v>33</v>
      </c>
      <c r="I22" s="35" t="s">
        <v>3</v>
      </c>
      <c r="J22" s="49" t="s">
        <v>51</v>
      </c>
      <c r="K22" s="4"/>
      <c r="L22" s="50"/>
      <c r="M22" s="50"/>
      <c r="N22" s="50"/>
    </row>
    <row r="23" spans="1:14" x14ac:dyDescent="0.2">
      <c r="A23" s="1" t="str">
        <f t="shared" si="1"/>
        <v>ok</v>
      </c>
      <c r="C23" s="47" t="s">
        <v>78</v>
      </c>
      <c r="D23" s="22">
        <v>40694</v>
      </c>
      <c r="E23" s="10">
        <v>27.24</v>
      </c>
      <c r="F23" s="14">
        <f>E23/$D$3*100</f>
        <v>1.1373695198329854</v>
      </c>
      <c r="G23" s="51" t="s">
        <v>33</v>
      </c>
      <c r="I23" s="48">
        <v>40633</v>
      </c>
      <c r="J23" s="66"/>
      <c r="K23" s="4"/>
      <c r="L23" s="50"/>
      <c r="M23" s="50"/>
      <c r="N23" s="50"/>
    </row>
    <row r="24" spans="1:14" x14ac:dyDescent="0.2">
      <c r="C24" s="47" t="s">
        <v>74</v>
      </c>
      <c r="D24" s="22">
        <v>40694</v>
      </c>
      <c r="E24" s="10">
        <v>320</v>
      </c>
      <c r="F24" s="14">
        <f>E24/$D$3*100</f>
        <v>13.361169102296449</v>
      </c>
      <c r="G24" s="51" t="s">
        <v>33</v>
      </c>
      <c r="I24" s="48"/>
      <c r="J24" s="66"/>
      <c r="K24" s="4"/>
      <c r="L24" s="50"/>
      <c r="M24" s="50"/>
    </row>
    <row r="25" spans="1:14" x14ac:dyDescent="0.2">
      <c r="C25" s="47" t="s">
        <v>75</v>
      </c>
      <c r="D25" s="22">
        <v>40686</v>
      </c>
      <c r="E25" s="10">
        <v>224</v>
      </c>
      <c r="F25" s="14">
        <f>E25/$D$3*100</f>
        <v>9.3528183716075155</v>
      </c>
      <c r="G25" s="51" t="s">
        <v>33</v>
      </c>
      <c r="I25" s="36"/>
      <c r="J25" s="38"/>
      <c r="K25" s="4"/>
      <c r="L25" s="50"/>
      <c r="M25" s="50"/>
    </row>
    <row r="26" spans="1:14" x14ac:dyDescent="0.2">
      <c r="A26" s="1" t="str">
        <f t="shared" si="1"/>
        <v>ok</v>
      </c>
      <c r="C26" s="47" t="s">
        <v>37</v>
      </c>
      <c r="D26" s="22">
        <v>40694</v>
      </c>
      <c r="E26" s="10">
        <v>17</v>
      </c>
      <c r="F26" s="14">
        <f t="shared" si="2"/>
        <v>0.70981210855949894</v>
      </c>
      <c r="G26" s="51" t="s">
        <v>33</v>
      </c>
      <c r="I26" s="53" t="s">
        <v>59</v>
      </c>
      <c r="J26" s="57">
        <v>2000</v>
      </c>
    </row>
    <row r="27" spans="1:14" x14ac:dyDescent="0.2">
      <c r="A27" s="1" t="str">
        <f t="shared" si="1"/>
        <v>ok</v>
      </c>
      <c r="B27" s="41"/>
      <c r="C27" s="47" t="s">
        <v>11</v>
      </c>
      <c r="D27" s="22">
        <v>40694</v>
      </c>
      <c r="E27" s="10">
        <v>0</v>
      </c>
      <c r="F27" s="14">
        <f t="shared" si="2"/>
        <v>0</v>
      </c>
      <c r="G27" s="51" t="s">
        <v>33</v>
      </c>
      <c r="I27" s="53" t="s">
        <v>60</v>
      </c>
      <c r="J27" s="57">
        <v>3500</v>
      </c>
      <c r="L27" s="50"/>
    </row>
    <row r="28" spans="1:14" x14ac:dyDescent="0.2">
      <c r="A28" s="1" t="str">
        <f t="shared" si="1"/>
        <v/>
      </c>
      <c r="C28" s="67" t="s">
        <v>57</v>
      </c>
      <c r="D28" s="54"/>
      <c r="E28" s="10">
        <f>SUM(E22:E27)</f>
        <v>1488.24</v>
      </c>
      <c r="F28" s="14">
        <f t="shared" si="2"/>
        <v>62.13945720250522</v>
      </c>
      <c r="G28" s="39"/>
    </row>
    <row r="29" spans="1:14" x14ac:dyDescent="0.2">
      <c r="A29" s="1" t="str">
        <f t="shared" si="1"/>
        <v/>
      </c>
      <c r="C29" s="34"/>
      <c r="D29" s="33"/>
      <c r="E29" s="31"/>
      <c r="F29" s="32"/>
    </row>
    <row r="30" spans="1:14" ht="13.5" thickBot="1" x14ac:dyDescent="0.25">
      <c r="A30" s="1" t="str">
        <f t="shared" si="1"/>
        <v/>
      </c>
      <c r="C30" s="125" t="s">
        <v>20</v>
      </c>
      <c r="D30" s="126"/>
      <c r="E30" s="18">
        <f>SUM(E7:E13,E16:E19,E22:E27)-E24-E25-E17-E18</f>
        <v>2186.7399999999998</v>
      </c>
      <c r="F30" s="56">
        <f t="shared" si="2"/>
        <v>91.304384133611677</v>
      </c>
    </row>
    <row r="31" spans="1:14" x14ac:dyDescent="0.2">
      <c r="A31" s="1" t="str">
        <f t="shared" si="1"/>
        <v/>
      </c>
    </row>
    <row r="32" spans="1:14" x14ac:dyDescent="0.2">
      <c r="A32" s="1" t="str">
        <f t="shared" si="1"/>
        <v/>
      </c>
    </row>
    <row r="35" spans="3:7" x14ac:dyDescent="0.2">
      <c r="C35" s="53" t="s">
        <v>69</v>
      </c>
      <c r="E35" s="16">
        <v>3382.5</v>
      </c>
      <c r="G35" s="1" t="s">
        <v>80</v>
      </c>
    </row>
    <row r="36" spans="3:7" x14ac:dyDescent="0.2">
      <c r="C36" s="53" t="s">
        <v>23</v>
      </c>
      <c r="E36" s="4">
        <f>E35*10%</f>
        <v>338.25</v>
      </c>
    </row>
    <row r="37" spans="3:7" x14ac:dyDescent="0.2">
      <c r="C37" s="53" t="s">
        <v>68</v>
      </c>
      <c r="E37" s="4">
        <v>365</v>
      </c>
    </row>
    <row r="38" spans="3:7" x14ac:dyDescent="0.2">
      <c r="C38" s="53" t="s">
        <v>58</v>
      </c>
      <c r="E38" s="4">
        <v>370</v>
      </c>
    </row>
    <row r="39" spans="3:7" x14ac:dyDescent="0.2">
      <c r="C39" s="53" t="s">
        <v>70</v>
      </c>
      <c r="E39" s="4">
        <v>255.98</v>
      </c>
    </row>
    <row r="40" spans="3:7" x14ac:dyDescent="0.2">
      <c r="C40" s="53" t="s">
        <v>10</v>
      </c>
      <c r="E40" s="4">
        <v>8.42</v>
      </c>
    </row>
    <row r="41" spans="3:7" x14ac:dyDescent="0.2">
      <c r="C41" s="53" t="s">
        <v>73</v>
      </c>
      <c r="E41" s="4">
        <v>44.89</v>
      </c>
    </row>
    <row r="43" spans="3:7" x14ac:dyDescent="0.2">
      <c r="C43" s="53" t="s">
        <v>72</v>
      </c>
      <c r="E43" s="4">
        <f>SUM(E36:E42)</f>
        <v>1382.5400000000002</v>
      </c>
    </row>
    <row r="45" spans="3:7" x14ac:dyDescent="0.2">
      <c r="C45" s="53" t="s">
        <v>71</v>
      </c>
      <c r="E45" s="4">
        <f>E35-E43</f>
        <v>1999.9599999999998</v>
      </c>
    </row>
  </sheetData>
  <mergeCells count="5">
    <mergeCell ref="C30:D30"/>
    <mergeCell ref="I5:J5"/>
    <mergeCell ref="I12:J12"/>
    <mergeCell ref="N11:P11"/>
    <mergeCell ref="I21:J21"/>
  </mergeCells>
  <phoneticPr fontId="19" type="noConversion"/>
  <conditionalFormatting sqref="G22:G28 G7:G20">
    <cfRule type="cellIs" dxfId="101" priority="1" stopIfTrue="1" operator="equal">
      <formula>"ok"</formula>
    </cfRule>
  </conditionalFormatting>
  <conditionalFormatting sqref="F16">
    <cfRule type="cellIs" dxfId="100" priority="5" stopIfTrue="1" operator="lessThan">
      <formula>15</formula>
    </cfRule>
    <cfRule type="cellIs" dxfId="99" priority="6" stopIfTrue="1" operator="between">
      <formula>15</formula>
      <formula>19</formula>
    </cfRule>
    <cfRule type="cellIs" dxfId="98" priority="7" stopIfTrue="1" operator="greaterThanOrEqual">
      <formula>20</formula>
    </cfRule>
  </conditionalFormatting>
  <conditionalFormatting sqref="F15 F7:F13 F17:F29">
    <cfRule type="cellIs" dxfId="97" priority="10" stopIfTrue="1" operator="greaterThan">
      <formula>15</formula>
    </cfRule>
  </conditionalFormatting>
  <conditionalFormatting sqref="J3 L3">
    <cfRule type="cellIs" dxfId="96" priority="9" stopIfTrue="1" operator="lessThan">
      <formula>0</formula>
    </cfRule>
  </conditionalFormatting>
  <conditionalFormatting sqref="E8:E13 E22:E28">
    <cfRule type="cellIs" dxfId="95" priority="8" stopIfTrue="1" operator="greaterThan">
      <formula>400</formula>
    </cfRule>
  </conditionalFormatting>
  <conditionalFormatting sqref="E28 E14">
    <cfRule type="cellIs" dxfId="94" priority="4" operator="greaterThan">
      <formula>1100</formula>
    </cfRule>
  </conditionalFormatting>
  <conditionalFormatting sqref="E20">
    <cfRule type="cellIs" dxfId="93" priority="3" operator="lessThan">
      <formula>250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M45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42578125" style="1" bestFit="1" customWidth="1"/>
    <col min="12" max="12" width="8.28515625" style="1" customWidth="1"/>
    <col min="13" max="13" width="9.28515625" style="1" bestFit="1" customWidth="1"/>
    <col min="14" max="16384" width="9.140625" style="1"/>
  </cols>
  <sheetData>
    <row r="1" spans="1:13" x14ac:dyDescent="0.2">
      <c r="C1" s="3"/>
    </row>
    <row r="2" spans="1:13" x14ac:dyDescent="0.2">
      <c r="C2" s="23" t="s">
        <v>29</v>
      </c>
      <c r="D2" s="24" t="s">
        <v>28</v>
      </c>
      <c r="E2" s="2"/>
      <c r="F2" s="3"/>
      <c r="H2" s="25" t="s">
        <v>56</v>
      </c>
      <c r="J2" s="26" t="s">
        <v>79</v>
      </c>
      <c r="L2" s="8" t="s">
        <v>0</v>
      </c>
    </row>
    <row r="3" spans="1:13" x14ac:dyDescent="0.2">
      <c r="C3" s="16">
        <v>4000</v>
      </c>
      <c r="D3" s="16">
        <v>2395</v>
      </c>
      <c r="E3" s="2"/>
      <c r="F3" s="5"/>
      <c r="G3" s="4"/>
      <c r="H3" s="16">
        <f>D3-SUMIF(D7:D29,40724,E7:E29)</f>
        <v>1153.78</v>
      </c>
      <c r="I3" s="4"/>
      <c r="J3" s="19">
        <f>D3-E30</f>
        <v>76.800000000000182</v>
      </c>
      <c r="K3" s="20"/>
      <c r="L3" s="21">
        <f>J3/C3*100</f>
        <v>1.9200000000000046</v>
      </c>
      <c r="M3" s="4"/>
    </row>
    <row r="4" spans="1:13" ht="13.5" thickBot="1" x14ac:dyDescent="0.25">
      <c r="E4" s="2"/>
      <c r="F4" s="3"/>
      <c r="H4" s="40"/>
    </row>
    <row r="5" spans="1:13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3" x14ac:dyDescent="0.2">
      <c r="A6" s="1" t="str">
        <f t="shared" ref="A6" si="0">CONCATENATE(B6,G6)</f>
        <v/>
      </c>
      <c r="C6" s="46" t="s">
        <v>38</v>
      </c>
      <c r="D6" s="27"/>
      <c r="E6" s="28"/>
      <c r="F6" s="29"/>
      <c r="I6" s="35" t="s">
        <v>38</v>
      </c>
      <c r="J6" s="37">
        <f>SUMIF(G7:G13,"",E7:E13)</f>
        <v>0</v>
      </c>
    </row>
    <row r="7" spans="1:13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40724</v>
      </c>
      <c r="E7" s="10">
        <f>C3*10%</f>
        <v>400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SUMIF(G16:G19,"",E16:E19)</f>
        <v>0</v>
      </c>
      <c r="L7" s="50"/>
    </row>
    <row r="8" spans="1:13" x14ac:dyDescent="0.2">
      <c r="A8" s="1" t="str">
        <f t="shared" ref="A8:A32" si="1">CONCATENATE(B8,G8)</f>
        <v>ok</v>
      </c>
      <c r="C8" s="47" t="s">
        <v>31</v>
      </c>
      <c r="D8" s="22">
        <v>40724</v>
      </c>
      <c r="E8" s="10">
        <v>277</v>
      </c>
      <c r="F8" s="14">
        <f t="shared" ref="F8:F30" si="2">E8/$D$3*100</f>
        <v>11.565762004175365</v>
      </c>
      <c r="G8" s="2" t="s">
        <v>33</v>
      </c>
      <c r="I8" s="35" t="s">
        <v>44</v>
      </c>
      <c r="J8" s="37">
        <f>SUMIF(G22:G27,"",E22:E27)</f>
        <v>0</v>
      </c>
      <c r="L8" s="50"/>
    </row>
    <row r="9" spans="1:13" x14ac:dyDescent="0.2">
      <c r="A9" s="1" t="str">
        <f t="shared" si="1"/>
        <v>Simok</v>
      </c>
      <c r="B9" s="53" t="s">
        <v>50</v>
      </c>
      <c r="C9" s="47" t="s">
        <v>8</v>
      </c>
      <c r="D9" s="22">
        <v>40724</v>
      </c>
      <c r="E9" s="10">
        <v>100</v>
      </c>
      <c r="F9" s="14">
        <f t="shared" si="2"/>
        <v>4.1753653444676413</v>
      </c>
      <c r="G9" s="51" t="s">
        <v>33</v>
      </c>
      <c r="I9" s="35"/>
      <c r="J9" s="37"/>
    </row>
    <row r="10" spans="1:13" x14ac:dyDescent="0.2">
      <c r="A10" s="1" t="str">
        <f t="shared" si="1"/>
        <v>ok</v>
      </c>
      <c r="B10" s="41"/>
      <c r="C10" s="47" t="s">
        <v>9</v>
      </c>
      <c r="D10" s="22">
        <v>40724</v>
      </c>
      <c r="E10" s="10">
        <v>29.72</v>
      </c>
      <c r="F10" s="14">
        <f t="shared" si="2"/>
        <v>1.240918580375783</v>
      </c>
      <c r="G10" s="51" t="s">
        <v>33</v>
      </c>
      <c r="H10" s="40"/>
      <c r="I10" s="36" t="s">
        <v>45</v>
      </c>
      <c r="J10" s="38">
        <f>SUM(J6:J8)</f>
        <v>0</v>
      </c>
    </row>
    <row r="11" spans="1:13" x14ac:dyDescent="0.2">
      <c r="A11" s="1" t="str">
        <f t="shared" si="1"/>
        <v>Simok</v>
      </c>
      <c r="B11" s="53" t="s">
        <v>50</v>
      </c>
      <c r="C11" s="47" t="s">
        <v>34</v>
      </c>
      <c r="D11" s="22">
        <v>40724</v>
      </c>
      <c r="E11" s="10">
        <v>0</v>
      </c>
      <c r="F11" s="14">
        <f t="shared" si="2"/>
        <v>0</v>
      </c>
      <c r="G11" s="51" t="s">
        <v>33</v>
      </c>
    </row>
    <row r="12" spans="1:13" x14ac:dyDescent="0.2">
      <c r="A12" s="1" t="str">
        <f t="shared" si="1"/>
        <v>ok</v>
      </c>
      <c r="B12" s="41"/>
      <c r="C12" s="47" t="s">
        <v>36</v>
      </c>
      <c r="D12" s="22">
        <v>40724</v>
      </c>
      <c r="E12" s="10">
        <v>234.5</v>
      </c>
      <c r="F12" s="14">
        <f t="shared" si="2"/>
        <v>9.7912317327766178</v>
      </c>
      <c r="G12" s="51" t="s">
        <v>33</v>
      </c>
      <c r="I12" s="123" t="s">
        <v>35</v>
      </c>
      <c r="J12" s="124"/>
    </row>
    <row r="13" spans="1:13" x14ac:dyDescent="0.2">
      <c r="A13" s="1" t="str">
        <f t="shared" si="1"/>
        <v>ok</v>
      </c>
      <c r="C13" s="47" t="s">
        <v>53</v>
      </c>
      <c r="D13" s="52">
        <v>40724</v>
      </c>
      <c r="E13" s="10">
        <v>0</v>
      </c>
      <c r="F13" s="14">
        <f t="shared" si="2"/>
        <v>0</v>
      </c>
      <c r="G13" s="51" t="s">
        <v>33</v>
      </c>
      <c r="I13" s="35" t="s">
        <v>38</v>
      </c>
      <c r="J13" s="37">
        <f>SUMIF(A7:A15,"sim",E7:E15)</f>
        <v>0</v>
      </c>
    </row>
    <row r="14" spans="1:13" x14ac:dyDescent="0.2">
      <c r="A14" s="1" t="str">
        <f t="shared" si="1"/>
        <v/>
      </c>
      <c r="C14" s="67" t="s">
        <v>57</v>
      </c>
      <c r="D14" s="54"/>
      <c r="E14" s="10">
        <f>SUM(E7:E13)</f>
        <v>1041.22</v>
      </c>
      <c r="F14" s="14">
        <f t="shared" si="2"/>
        <v>43.47473903966597</v>
      </c>
      <c r="G14" s="51"/>
      <c r="I14" s="35" t="s">
        <v>41</v>
      </c>
      <c r="J14" s="37">
        <f>SUMIF(A16:A19,"sim",E16:E21)</f>
        <v>0</v>
      </c>
    </row>
    <row r="15" spans="1:13" x14ac:dyDescent="0.2">
      <c r="A15" s="1" t="str">
        <f t="shared" si="1"/>
        <v/>
      </c>
      <c r="C15" s="46" t="s">
        <v>41</v>
      </c>
      <c r="D15" s="30"/>
      <c r="E15" s="31"/>
      <c r="F15" s="32"/>
      <c r="G15" s="51"/>
      <c r="I15" s="35" t="s">
        <v>44</v>
      </c>
      <c r="J15" s="37">
        <f>SUMIF(A22:A28,"sim",E22:E29)</f>
        <v>0</v>
      </c>
      <c r="L15" s="4"/>
    </row>
    <row r="16" spans="1:13" x14ac:dyDescent="0.2">
      <c r="A16" s="1" t="str">
        <f t="shared" si="1"/>
        <v>ok</v>
      </c>
      <c r="B16" s="41"/>
      <c r="C16" s="47" t="s">
        <v>42</v>
      </c>
      <c r="D16" s="22">
        <v>40724</v>
      </c>
      <c r="E16" s="10">
        <v>0</v>
      </c>
      <c r="F16" s="14">
        <f>E16/$D$3*100</f>
        <v>0</v>
      </c>
      <c r="G16" s="51" t="s">
        <v>33</v>
      </c>
      <c r="I16" s="35"/>
      <c r="J16" s="37"/>
    </row>
    <row r="17" spans="1:13" x14ac:dyDescent="0.2">
      <c r="A17" s="1" t="str">
        <f t="shared" si="1"/>
        <v>Simok</v>
      </c>
      <c r="B17" s="53" t="s">
        <v>50</v>
      </c>
      <c r="C17" s="47" t="s">
        <v>26</v>
      </c>
      <c r="D17" s="22">
        <v>40724</v>
      </c>
      <c r="E17" s="10">
        <v>100</v>
      </c>
      <c r="F17" s="14">
        <f>E17/$D$3*100</f>
        <v>4.1753653444676413</v>
      </c>
      <c r="G17" s="51" t="s">
        <v>33</v>
      </c>
      <c r="I17" s="36" t="s">
        <v>45</v>
      </c>
      <c r="J17" s="38">
        <f>SUM(J13:J16)</f>
        <v>0</v>
      </c>
    </row>
    <row r="18" spans="1:13" x14ac:dyDescent="0.2">
      <c r="A18" s="1" t="str">
        <f t="shared" si="1"/>
        <v>Simok</v>
      </c>
      <c r="B18" s="53" t="s">
        <v>50</v>
      </c>
      <c r="C18" s="47" t="s">
        <v>27</v>
      </c>
      <c r="D18" s="22">
        <v>40724</v>
      </c>
      <c r="E18" s="10">
        <v>100</v>
      </c>
      <c r="F18" s="14">
        <f>E18/$D$3*100</f>
        <v>4.1753653444676413</v>
      </c>
      <c r="G18" s="51" t="s">
        <v>33</v>
      </c>
    </row>
    <row r="19" spans="1:13" x14ac:dyDescent="0.2">
      <c r="A19" s="1" t="str">
        <f t="shared" si="1"/>
        <v>Simok</v>
      </c>
      <c r="B19" s="53" t="s">
        <v>50</v>
      </c>
      <c r="C19" s="47" t="s">
        <v>39</v>
      </c>
      <c r="D19" s="22">
        <v>40724</v>
      </c>
      <c r="E19" s="10">
        <v>0</v>
      </c>
      <c r="F19" s="14">
        <f>E19/$D$3*100</f>
        <v>0</v>
      </c>
      <c r="G19" s="51" t="s">
        <v>33</v>
      </c>
    </row>
    <row r="20" spans="1:13" x14ac:dyDescent="0.2">
      <c r="A20" s="1" t="str">
        <f t="shared" si="1"/>
        <v/>
      </c>
      <c r="B20" s="53"/>
      <c r="C20" s="67" t="s">
        <v>57</v>
      </c>
      <c r="D20" s="54"/>
      <c r="E20" s="10">
        <f>SUM(E16:E19)</f>
        <v>200</v>
      </c>
      <c r="F20" s="14">
        <f t="shared" ref="F20" si="3">E20/$D$3*100</f>
        <v>8.3507306889352826</v>
      </c>
      <c r="G20" s="51"/>
    </row>
    <row r="21" spans="1:13" x14ac:dyDescent="0.2">
      <c r="A21" s="1" t="str">
        <f t="shared" si="1"/>
        <v/>
      </c>
      <c r="B21" s="53"/>
      <c r="C21" s="46" t="s">
        <v>40</v>
      </c>
      <c r="D21" s="33"/>
      <c r="E21" s="31"/>
      <c r="F21" s="32"/>
      <c r="I21" s="123" t="s">
        <v>46</v>
      </c>
      <c r="J21" s="124"/>
    </row>
    <row r="22" spans="1:13" x14ac:dyDescent="0.2">
      <c r="A22" s="1" t="str">
        <f t="shared" si="1"/>
        <v>ok</v>
      </c>
      <c r="C22" s="47" t="s">
        <v>77</v>
      </c>
      <c r="D22" s="22">
        <v>40694</v>
      </c>
      <c r="E22" s="10">
        <v>430.11</v>
      </c>
      <c r="F22" s="14">
        <f>E22/$D$3*100</f>
        <v>17.95866388308977</v>
      </c>
      <c r="G22" s="51" t="s">
        <v>33</v>
      </c>
      <c r="I22" s="35" t="s">
        <v>3</v>
      </c>
      <c r="J22" s="49" t="s">
        <v>51</v>
      </c>
      <c r="K22" s="4"/>
      <c r="L22" s="50"/>
      <c r="M22" s="50"/>
    </row>
    <row r="23" spans="1:13" x14ac:dyDescent="0.2">
      <c r="A23" s="1" t="str">
        <f t="shared" si="1"/>
        <v>ok</v>
      </c>
      <c r="C23" s="47" t="s">
        <v>78</v>
      </c>
      <c r="D23" s="22">
        <v>40694</v>
      </c>
      <c r="E23" s="10">
        <v>422.77</v>
      </c>
      <c r="F23" s="14">
        <f>E23/$D$3*100</f>
        <v>17.652192066805846</v>
      </c>
      <c r="G23" s="51" t="s">
        <v>33</v>
      </c>
      <c r="I23" s="48">
        <v>40724</v>
      </c>
      <c r="J23" s="66">
        <v>1654.58</v>
      </c>
      <c r="K23" s="4"/>
      <c r="L23" s="50"/>
      <c r="M23" s="50"/>
    </row>
    <row r="24" spans="1:13" x14ac:dyDescent="0.2">
      <c r="C24" s="47" t="s">
        <v>37</v>
      </c>
      <c r="D24" s="22">
        <v>40694</v>
      </c>
      <c r="E24" s="10">
        <v>17</v>
      </c>
      <c r="F24" s="14">
        <f t="shared" ref="F24" si="4">E24/$D$3*100</f>
        <v>0.70981210855949894</v>
      </c>
      <c r="G24" s="51" t="s">
        <v>33</v>
      </c>
      <c r="I24" s="48"/>
      <c r="J24" s="66"/>
      <c r="K24" s="4"/>
      <c r="L24" s="50"/>
      <c r="M24" s="50"/>
    </row>
    <row r="25" spans="1:13" x14ac:dyDescent="0.2">
      <c r="C25" s="47" t="s">
        <v>81</v>
      </c>
      <c r="D25" s="22">
        <v>40686</v>
      </c>
      <c r="E25" s="10">
        <v>68.099999999999994</v>
      </c>
      <c r="F25" s="14">
        <f>E25/$D$3*100</f>
        <v>2.8434237995824634</v>
      </c>
      <c r="G25" s="51" t="s">
        <v>33</v>
      </c>
      <c r="I25" s="36"/>
      <c r="J25" s="38"/>
      <c r="K25" s="4"/>
      <c r="L25" s="50"/>
      <c r="M25" s="50"/>
    </row>
    <row r="26" spans="1:13" x14ac:dyDescent="0.2">
      <c r="A26" s="1" t="str">
        <f t="shared" si="1"/>
        <v>ok</v>
      </c>
      <c r="C26" s="47" t="s">
        <v>82</v>
      </c>
      <c r="D26" s="22">
        <v>40694</v>
      </c>
      <c r="E26" s="10">
        <v>50</v>
      </c>
      <c r="F26" s="14">
        <f t="shared" si="2"/>
        <v>2.0876826722338206</v>
      </c>
      <c r="G26" s="51" t="s">
        <v>33</v>
      </c>
      <c r="I26" s="53" t="s">
        <v>59</v>
      </c>
      <c r="J26" s="57">
        <v>2500</v>
      </c>
    </row>
    <row r="27" spans="1:13" x14ac:dyDescent="0.2">
      <c r="A27" s="1" t="str">
        <f t="shared" si="1"/>
        <v>ok</v>
      </c>
      <c r="B27" s="41"/>
      <c r="C27" s="47" t="s">
        <v>11</v>
      </c>
      <c r="D27" s="22">
        <v>40694</v>
      </c>
      <c r="E27" s="10">
        <v>89</v>
      </c>
      <c r="F27" s="14">
        <f t="shared" si="2"/>
        <v>3.7160751565762005</v>
      </c>
      <c r="G27" s="51" t="s">
        <v>33</v>
      </c>
      <c r="I27" s="53" t="s">
        <v>60</v>
      </c>
      <c r="J27" s="57">
        <v>4500</v>
      </c>
      <c r="L27" s="50"/>
    </row>
    <row r="28" spans="1:13" x14ac:dyDescent="0.2">
      <c r="A28" s="1" t="str">
        <f t="shared" si="1"/>
        <v/>
      </c>
      <c r="C28" s="67" t="s">
        <v>57</v>
      </c>
      <c r="D28" s="54"/>
      <c r="E28" s="10">
        <f>SUM(E22:E27)</f>
        <v>1076.98</v>
      </c>
      <c r="F28" s="14">
        <f t="shared" si="2"/>
        <v>44.9678496868476</v>
      </c>
      <c r="G28" s="39"/>
    </row>
    <row r="29" spans="1:13" x14ac:dyDescent="0.2">
      <c r="A29" s="1" t="str">
        <f t="shared" si="1"/>
        <v/>
      </c>
      <c r="C29" s="34"/>
      <c r="D29" s="33"/>
      <c r="E29" s="31"/>
      <c r="F29" s="32"/>
    </row>
    <row r="30" spans="1:13" ht="13.5" thickBot="1" x14ac:dyDescent="0.25">
      <c r="A30" s="1" t="str">
        <f t="shared" si="1"/>
        <v/>
      </c>
      <c r="C30" s="125" t="s">
        <v>20</v>
      </c>
      <c r="D30" s="126"/>
      <c r="E30" s="18">
        <f>SUM(E7:E13,E16:E19,E22:E27)</f>
        <v>2318.1999999999998</v>
      </c>
      <c r="F30" s="56">
        <f t="shared" si="2"/>
        <v>96.793319415448849</v>
      </c>
    </row>
    <row r="31" spans="1:13" x14ac:dyDescent="0.2">
      <c r="A31" s="1" t="str">
        <f t="shared" si="1"/>
        <v/>
      </c>
    </row>
    <row r="32" spans="1:13" x14ac:dyDescent="0.2">
      <c r="A32" s="1" t="str">
        <f t="shared" si="1"/>
        <v/>
      </c>
    </row>
    <row r="35" spans="3:5" x14ac:dyDescent="0.2">
      <c r="C35" s="53" t="s">
        <v>69</v>
      </c>
      <c r="E35" s="16">
        <v>3382.5</v>
      </c>
    </row>
    <row r="36" spans="3:5" x14ac:dyDescent="0.2">
      <c r="C36" s="53" t="s">
        <v>23</v>
      </c>
      <c r="E36" s="4">
        <f>E35*10%</f>
        <v>338.25</v>
      </c>
    </row>
    <row r="37" spans="3:5" x14ac:dyDescent="0.2">
      <c r="C37" s="53" t="s">
        <v>68</v>
      </c>
      <c r="E37" s="4">
        <v>365</v>
      </c>
    </row>
    <row r="38" spans="3:5" x14ac:dyDescent="0.2">
      <c r="C38" s="53" t="s">
        <v>58</v>
      </c>
      <c r="E38" s="4">
        <v>370</v>
      </c>
    </row>
    <row r="39" spans="3:5" x14ac:dyDescent="0.2">
      <c r="C39" s="53" t="s">
        <v>70</v>
      </c>
      <c r="E39" s="4">
        <v>255.98</v>
      </c>
    </row>
    <row r="40" spans="3:5" x14ac:dyDescent="0.2">
      <c r="C40" s="53" t="s">
        <v>10</v>
      </c>
      <c r="E40" s="4">
        <v>8.42</v>
      </c>
    </row>
    <row r="41" spans="3:5" x14ac:dyDescent="0.2">
      <c r="C41" s="53" t="s">
        <v>73</v>
      </c>
      <c r="E41" s="4">
        <v>44.89</v>
      </c>
    </row>
    <row r="43" spans="3:5" x14ac:dyDescent="0.2">
      <c r="C43" s="53" t="s">
        <v>72</v>
      </c>
      <c r="E43" s="4">
        <f>SUM(E36:E42)</f>
        <v>1382.5400000000002</v>
      </c>
    </row>
    <row r="45" spans="3:5" x14ac:dyDescent="0.2">
      <c r="C45" s="53" t="s">
        <v>71</v>
      </c>
      <c r="E45" s="4">
        <f>E35-E43</f>
        <v>1999.9599999999998</v>
      </c>
    </row>
  </sheetData>
  <mergeCells count="4">
    <mergeCell ref="C30:D30"/>
    <mergeCell ref="I5:J5"/>
    <mergeCell ref="I12:J12"/>
    <mergeCell ref="I21:J21"/>
  </mergeCells>
  <conditionalFormatting sqref="G22:G28 G7:G20">
    <cfRule type="cellIs" dxfId="92" priority="3" stopIfTrue="1" operator="equal">
      <formula>"ok"</formula>
    </cfRule>
  </conditionalFormatting>
  <conditionalFormatting sqref="F16">
    <cfRule type="cellIs" dxfId="91" priority="6" stopIfTrue="1" operator="lessThan">
      <formula>15</formula>
    </cfRule>
    <cfRule type="cellIs" dxfId="90" priority="7" stopIfTrue="1" operator="between">
      <formula>15</formula>
      <formula>19</formula>
    </cfRule>
    <cfRule type="cellIs" dxfId="89" priority="8" stopIfTrue="1" operator="greaterThanOrEqual">
      <formula>20</formula>
    </cfRule>
  </conditionalFormatting>
  <conditionalFormatting sqref="F15 F7:F13 F17:F23 F25:F29">
    <cfRule type="cellIs" dxfId="88" priority="11" stopIfTrue="1" operator="greaterThan">
      <formula>15</formula>
    </cfRule>
  </conditionalFormatting>
  <conditionalFormatting sqref="J3 L3">
    <cfRule type="cellIs" dxfId="87" priority="10" stopIfTrue="1" operator="lessThan">
      <formula>0</formula>
    </cfRule>
  </conditionalFormatting>
  <conditionalFormatting sqref="E8:E13 E22:E23 E25:E28">
    <cfRule type="cellIs" dxfId="86" priority="9" stopIfTrue="1" operator="greaterThan">
      <formula>400</formula>
    </cfRule>
  </conditionalFormatting>
  <conditionalFormatting sqref="E28 E14">
    <cfRule type="cellIs" dxfId="85" priority="5" operator="greaterThan">
      <formula>1100</formula>
    </cfRule>
  </conditionalFormatting>
  <conditionalFormatting sqref="E20">
    <cfRule type="cellIs" dxfId="84" priority="4" operator="lessThan">
      <formula>250</formula>
    </cfRule>
  </conditionalFormatting>
  <conditionalFormatting sqref="F24">
    <cfRule type="cellIs" dxfId="83" priority="2" stopIfTrue="1" operator="greaterThan">
      <formula>15</formula>
    </cfRule>
  </conditionalFormatting>
  <conditionalFormatting sqref="E24">
    <cfRule type="cellIs" dxfId="82" priority="1" stopIfTrue="1" operator="greaterThan">
      <formula>400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M45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42578125" style="1" bestFit="1" customWidth="1"/>
    <col min="12" max="12" width="8.28515625" style="1" customWidth="1"/>
    <col min="13" max="13" width="9.28515625" style="1" bestFit="1" customWidth="1"/>
    <col min="14" max="16384" width="9.140625" style="1"/>
  </cols>
  <sheetData>
    <row r="1" spans="1:13" x14ac:dyDescent="0.2">
      <c r="C1" s="3"/>
    </row>
    <row r="2" spans="1:13" x14ac:dyDescent="0.2">
      <c r="C2" s="23" t="s">
        <v>29</v>
      </c>
      <c r="D2" s="24" t="s">
        <v>28</v>
      </c>
      <c r="E2" s="2"/>
      <c r="F2" s="3"/>
      <c r="H2" s="25" t="s">
        <v>56</v>
      </c>
      <c r="J2" s="26" t="s">
        <v>79</v>
      </c>
      <c r="L2" s="8" t="s">
        <v>0</v>
      </c>
    </row>
    <row r="3" spans="1:13" x14ac:dyDescent="0.2">
      <c r="C3" s="16">
        <v>4000</v>
      </c>
      <c r="D3" s="16">
        <v>2313</v>
      </c>
      <c r="E3" s="2"/>
      <c r="F3" s="5"/>
      <c r="G3" s="4"/>
      <c r="H3" s="16">
        <f>D3-SUMIF(D7:D29,40724,E7:E29)</f>
        <v>2313</v>
      </c>
      <c r="I3" s="4"/>
      <c r="J3" s="19">
        <f>D3-E30</f>
        <v>-49</v>
      </c>
      <c r="K3" s="20"/>
      <c r="L3" s="21">
        <f>J3/C3*100</f>
        <v>-1.2250000000000001</v>
      </c>
      <c r="M3" s="4"/>
    </row>
    <row r="4" spans="1:13" ht="13.5" thickBot="1" x14ac:dyDescent="0.25">
      <c r="E4" s="2"/>
      <c r="F4" s="3"/>
      <c r="H4" s="40"/>
    </row>
    <row r="5" spans="1:13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3" x14ac:dyDescent="0.2">
      <c r="A6" s="1" t="str">
        <f t="shared" ref="A6:A23" si="0">CONCATENATE(B6,G6)</f>
        <v/>
      </c>
      <c r="C6" s="46" t="s">
        <v>38</v>
      </c>
      <c r="D6" s="27"/>
      <c r="E6" s="28"/>
      <c r="F6" s="29"/>
      <c r="I6" s="35" t="s">
        <v>38</v>
      </c>
      <c r="J6" s="37">
        <f>SUMIF(G7:G13,"",E7:E13)</f>
        <v>0</v>
      </c>
    </row>
    <row r="7" spans="1:13" x14ac:dyDescent="0.2">
      <c r="A7" s="1" t="str">
        <f t="shared" si="0"/>
        <v>Simokok</v>
      </c>
      <c r="B7" s="41" t="str">
        <f>CONCATENATE("Sim",G7)</f>
        <v>Simok</v>
      </c>
      <c r="C7" s="47" t="s">
        <v>23</v>
      </c>
      <c r="D7" s="22">
        <v>40755</v>
      </c>
      <c r="E7" s="10">
        <f>C3*10%</f>
        <v>400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SUMIF(G16:G19,"",E16:E19)</f>
        <v>0</v>
      </c>
      <c r="L7" s="50"/>
    </row>
    <row r="8" spans="1:13" x14ac:dyDescent="0.2">
      <c r="A8" s="1" t="str">
        <f t="shared" si="0"/>
        <v>ok</v>
      </c>
      <c r="C8" s="47" t="s">
        <v>31</v>
      </c>
      <c r="D8" s="22">
        <v>40755</v>
      </c>
      <c r="E8" s="10">
        <v>277</v>
      </c>
      <c r="F8" s="14">
        <f t="shared" ref="F8:F14" si="1">E8/$D$3*100</f>
        <v>11.975789018590575</v>
      </c>
      <c r="G8" s="2" t="s">
        <v>33</v>
      </c>
      <c r="I8" s="35" t="s">
        <v>44</v>
      </c>
      <c r="J8" s="37">
        <f>SUMIF(G22:G27,"",E22:E27)</f>
        <v>55</v>
      </c>
      <c r="L8" s="50"/>
    </row>
    <row r="9" spans="1:13" x14ac:dyDescent="0.2">
      <c r="A9" s="1" t="str">
        <f t="shared" si="0"/>
        <v>Simok</v>
      </c>
      <c r="B9" s="53" t="s">
        <v>50</v>
      </c>
      <c r="C9" s="47" t="s">
        <v>8</v>
      </c>
      <c r="D9" s="22">
        <v>40755</v>
      </c>
      <c r="E9" s="10">
        <v>100</v>
      </c>
      <c r="F9" s="14">
        <f t="shared" si="1"/>
        <v>4.3233895373973192</v>
      </c>
      <c r="G9" s="51" t="s">
        <v>33</v>
      </c>
      <c r="I9" s="35"/>
      <c r="J9" s="37"/>
    </row>
    <row r="10" spans="1:13" x14ac:dyDescent="0.2">
      <c r="A10" s="1" t="str">
        <f t="shared" si="0"/>
        <v>ok</v>
      </c>
      <c r="B10" s="41"/>
      <c r="C10" s="47" t="s">
        <v>9</v>
      </c>
      <c r="D10" s="22">
        <v>40755</v>
      </c>
      <c r="E10" s="10">
        <v>38</v>
      </c>
      <c r="F10" s="14">
        <f t="shared" si="1"/>
        <v>1.6428880242109816</v>
      </c>
      <c r="G10" s="51" t="s">
        <v>33</v>
      </c>
      <c r="H10" s="40"/>
      <c r="I10" s="36" t="s">
        <v>45</v>
      </c>
      <c r="J10" s="38">
        <f>SUM(J6:J8)</f>
        <v>55</v>
      </c>
    </row>
    <row r="11" spans="1:13" x14ac:dyDescent="0.2">
      <c r="A11" s="1" t="str">
        <f t="shared" si="0"/>
        <v>Simok</v>
      </c>
      <c r="B11" s="53" t="s">
        <v>50</v>
      </c>
      <c r="C11" s="47" t="s">
        <v>34</v>
      </c>
      <c r="D11" s="22">
        <v>40755</v>
      </c>
      <c r="E11" s="10">
        <v>0</v>
      </c>
      <c r="F11" s="14">
        <f t="shared" si="1"/>
        <v>0</v>
      </c>
      <c r="G11" s="51" t="s">
        <v>33</v>
      </c>
    </row>
    <row r="12" spans="1:13" x14ac:dyDescent="0.2">
      <c r="A12" s="1" t="str">
        <f t="shared" si="0"/>
        <v>ok</v>
      </c>
      <c r="B12" s="41"/>
      <c r="C12" s="47" t="s">
        <v>36</v>
      </c>
      <c r="D12" s="22">
        <v>40755</v>
      </c>
      <c r="E12" s="10">
        <v>216.17</v>
      </c>
      <c r="F12" s="14">
        <f t="shared" si="1"/>
        <v>9.3458711629917861</v>
      </c>
      <c r="G12" s="51" t="s">
        <v>33</v>
      </c>
      <c r="I12" s="123" t="s">
        <v>35</v>
      </c>
      <c r="J12" s="124"/>
    </row>
    <row r="13" spans="1:13" x14ac:dyDescent="0.2">
      <c r="A13" s="1" t="str">
        <f t="shared" si="0"/>
        <v>ok</v>
      </c>
      <c r="C13" s="47" t="s">
        <v>53</v>
      </c>
      <c r="D13" s="22">
        <v>40755</v>
      </c>
      <c r="E13" s="10">
        <v>49</v>
      </c>
      <c r="F13" s="14">
        <f t="shared" si="1"/>
        <v>2.1184608733246866</v>
      </c>
      <c r="G13" s="51" t="s">
        <v>33</v>
      </c>
      <c r="I13" s="35" t="s">
        <v>38</v>
      </c>
      <c r="J13" s="37">
        <f>SUMIF(A7:A15,"sim",E7:E15)</f>
        <v>0</v>
      </c>
    </row>
    <row r="14" spans="1:13" x14ac:dyDescent="0.2">
      <c r="A14" s="1" t="str">
        <f t="shared" si="0"/>
        <v/>
      </c>
      <c r="C14" s="67" t="s">
        <v>57</v>
      </c>
      <c r="D14" s="54"/>
      <c r="E14" s="10">
        <f>SUM(E7:E13)</f>
        <v>1080.17</v>
      </c>
      <c r="F14" s="14">
        <f t="shared" si="1"/>
        <v>46.699956766104627</v>
      </c>
      <c r="G14" s="51"/>
      <c r="I14" s="35" t="s">
        <v>41</v>
      </c>
      <c r="J14" s="37">
        <f>SUMIF(A16:A19,"sim",E16:E21)</f>
        <v>0</v>
      </c>
    </row>
    <row r="15" spans="1:13" x14ac:dyDescent="0.2">
      <c r="A15" s="1" t="str">
        <f t="shared" si="0"/>
        <v/>
      </c>
      <c r="C15" s="46" t="s">
        <v>41</v>
      </c>
      <c r="D15" s="30"/>
      <c r="E15" s="31"/>
      <c r="F15" s="32"/>
      <c r="G15" s="51"/>
      <c r="I15" s="35" t="s">
        <v>44</v>
      </c>
      <c r="J15" s="37">
        <f>SUMIF(A22:A28,"sim",E22:E29)</f>
        <v>0</v>
      </c>
      <c r="L15" s="4"/>
    </row>
    <row r="16" spans="1:13" x14ac:dyDescent="0.2">
      <c r="A16" s="1" t="str">
        <f t="shared" si="0"/>
        <v>ok</v>
      </c>
      <c r="B16" s="41"/>
      <c r="C16" s="47" t="s">
        <v>42</v>
      </c>
      <c r="D16" s="22">
        <v>40755</v>
      </c>
      <c r="E16" s="10">
        <v>0</v>
      </c>
      <c r="F16" s="14">
        <f>E16/$D$3*100</f>
        <v>0</v>
      </c>
      <c r="G16" s="51" t="s">
        <v>33</v>
      </c>
      <c r="I16" s="35"/>
      <c r="J16" s="37"/>
    </row>
    <row r="17" spans="1:13" x14ac:dyDescent="0.2">
      <c r="A17" s="1" t="str">
        <f t="shared" si="0"/>
        <v>Simok</v>
      </c>
      <c r="B17" s="53" t="s">
        <v>50</v>
      </c>
      <c r="C17" s="47" t="s">
        <v>26</v>
      </c>
      <c r="D17" s="22">
        <v>40755</v>
      </c>
      <c r="E17" s="10">
        <v>100</v>
      </c>
      <c r="F17" s="14">
        <f>E17/$D$3*100</f>
        <v>4.3233895373973192</v>
      </c>
      <c r="G17" s="51" t="s">
        <v>33</v>
      </c>
      <c r="I17" s="36" t="s">
        <v>45</v>
      </c>
      <c r="J17" s="38">
        <f>SUM(J13:J16)</f>
        <v>0</v>
      </c>
    </row>
    <row r="18" spans="1:13" x14ac:dyDescent="0.2">
      <c r="A18" s="1" t="str">
        <f t="shared" si="0"/>
        <v>Simok</v>
      </c>
      <c r="B18" s="53" t="s">
        <v>50</v>
      </c>
      <c r="C18" s="47" t="s">
        <v>27</v>
      </c>
      <c r="D18" s="22">
        <v>40755</v>
      </c>
      <c r="E18" s="10">
        <v>100</v>
      </c>
      <c r="F18" s="14">
        <f>E18/$D$3*100</f>
        <v>4.3233895373973192</v>
      </c>
      <c r="G18" s="51" t="s">
        <v>33</v>
      </c>
    </row>
    <row r="19" spans="1:13" x14ac:dyDescent="0.2">
      <c r="A19" s="1" t="str">
        <f t="shared" si="0"/>
        <v>Simok</v>
      </c>
      <c r="B19" s="53" t="s">
        <v>50</v>
      </c>
      <c r="C19" s="47" t="s">
        <v>39</v>
      </c>
      <c r="D19" s="22">
        <v>40755</v>
      </c>
      <c r="E19" s="10">
        <v>0</v>
      </c>
      <c r="F19" s="14">
        <f>E19/$D$3*100</f>
        <v>0</v>
      </c>
      <c r="G19" s="51" t="s">
        <v>33</v>
      </c>
    </row>
    <row r="20" spans="1:13" x14ac:dyDescent="0.2">
      <c r="A20" s="1" t="str">
        <f t="shared" si="0"/>
        <v/>
      </c>
      <c r="B20" s="53"/>
      <c r="C20" s="67" t="s">
        <v>57</v>
      </c>
      <c r="D20" s="54"/>
      <c r="E20" s="10">
        <f>SUM(E16:E19)</f>
        <v>200</v>
      </c>
      <c r="F20" s="14">
        <f t="shared" ref="F20" si="2">E20/$D$3*100</f>
        <v>8.6467790747946385</v>
      </c>
      <c r="G20" s="51"/>
    </row>
    <row r="21" spans="1:13" x14ac:dyDescent="0.2">
      <c r="A21" s="1" t="str">
        <f t="shared" si="0"/>
        <v/>
      </c>
      <c r="B21" s="53"/>
      <c r="C21" s="46" t="s">
        <v>40</v>
      </c>
      <c r="D21" s="33"/>
      <c r="E21" s="31"/>
      <c r="F21" s="32"/>
      <c r="I21" s="123" t="s">
        <v>46</v>
      </c>
      <c r="J21" s="124"/>
    </row>
    <row r="22" spans="1:13" x14ac:dyDescent="0.2">
      <c r="A22" s="1" t="str">
        <f t="shared" si="0"/>
        <v>ok</v>
      </c>
      <c r="C22" s="47" t="s">
        <v>77</v>
      </c>
      <c r="D22" s="22">
        <v>40755</v>
      </c>
      <c r="E22" s="10">
        <f>156.77+11.09</f>
        <v>167.86</v>
      </c>
      <c r="F22" s="14">
        <f>E22/$D$3*100</f>
        <v>7.2572416774751414</v>
      </c>
      <c r="G22" s="51" t="s">
        <v>33</v>
      </c>
      <c r="I22" s="35" t="s">
        <v>3</v>
      </c>
      <c r="J22" s="49" t="s">
        <v>51</v>
      </c>
      <c r="K22" s="4"/>
      <c r="L22" s="50"/>
      <c r="M22" s="50"/>
    </row>
    <row r="23" spans="1:13" x14ac:dyDescent="0.2">
      <c r="A23" s="1" t="str">
        <f t="shared" si="0"/>
        <v>ok</v>
      </c>
      <c r="C23" s="47" t="s">
        <v>78</v>
      </c>
      <c r="D23" s="22">
        <v>40755</v>
      </c>
      <c r="E23" s="10">
        <v>808.97</v>
      </c>
      <c r="F23" s="14">
        <f>E23/$D$3*100</f>
        <v>34.974924340683096</v>
      </c>
      <c r="G23" s="51" t="s">
        <v>33</v>
      </c>
      <c r="I23" s="48">
        <v>40724</v>
      </c>
      <c r="J23" s="66">
        <f>55+150+30</f>
        <v>235</v>
      </c>
      <c r="K23" s="4"/>
      <c r="L23" s="50"/>
      <c r="M23" s="50"/>
    </row>
    <row r="24" spans="1:13" x14ac:dyDescent="0.2">
      <c r="C24" s="47" t="s">
        <v>84</v>
      </c>
      <c r="D24" s="22">
        <v>40755</v>
      </c>
      <c r="E24" s="10">
        <v>55</v>
      </c>
      <c r="F24" s="14">
        <f>E24/$D$3*100</f>
        <v>2.3778642455685257</v>
      </c>
      <c r="G24" s="51"/>
      <c r="I24" s="48"/>
      <c r="J24" s="66"/>
      <c r="K24" s="4"/>
      <c r="L24" s="50"/>
      <c r="M24" s="50"/>
    </row>
    <row r="25" spans="1:13" x14ac:dyDescent="0.2">
      <c r="C25" s="47" t="s">
        <v>37</v>
      </c>
      <c r="D25" s="22">
        <v>40755</v>
      </c>
      <c r="E25" s="10">
        <v>0</v>
      </c>
      <c r="F25" s="14">
        <f t="shared" ref="F25" si="3">E25/$D$3*100</f>
        <v>0</v>
      </c>
      <c r="G25" s="51" t="s">
        <v>33</v>
      </c>
      <c r="I25" s="68"/>
      <c r="J25" s="69"/>
      <c r="K25" s="4"/>
      <c r="L25" s="50"/>
      <c r="M25" s="50"/>
    </row>
    <row r="26" spans="1:13" x14ac:dyDescent="0.2">
      <c r="A26" s="1" t="str">
        <f t="shared" ref="A26:A32" si="4">CONCATENATE(B26,G26)</f>
        <v>ok</v>
      </c>
      <c r="C26" s="47" t="s">
        <v>82</v>
      </c>
      <c r="D26" s="22">
        <v>40755</v>
      </c>
      <c r="E26" s="10">
        <v>50</v>
      </c>
      <c r="F26" s="14">
        <f>E26/$D$3*100</f>
        <v>2.1616947686986596</v>
      </c>
      <c r="G26" s="51" t="s">
        <v>33</v>
      </c>
      <c r="I26" s="53" t="s">
        <v>59</v>
      </c>
      <c r="J26" s="57">
        <v>2800</v>
      </c>
    </row>
    <row r="27" spans="1:13" x14ac:dyDescent="0.2">
      <c r="A27" s="1" t="str">
        <f t="shared" si="4"/>
        <v>ok</v>
      </c>
      <c r="B27" s="41"/>
      <c r="C27" s="47" t="s">
        <v>11</v>
      </c>
      <c r="D27" s="22">
        <v>40755</v>
      </c>
      <c r="E27" s="10">
        <v>0</v>
      </c>
      <c r="F27" s="14">
        <f>E27/$D$3*100</f>
        <v>0</v>
      </c>
      <c r="G27" s="51" t="s">
        <v>33</v>
      </c>
      <c r="I27" s="53" t="s">
        <v>60</v>
      </c>
      <c r="J27" s="57">
        <v>4500</v>
      </c>
      <c r="L27" s="50"/>
    </row>
    <row r="28" spans="1:13" x14ac:dyDescent="0.2">
      <c r="A28" s="1" t="str">
        <f t="shared" si="4"/>
        <v/>
      </c>
      <c r="C28" s="67" t="s">
        <v>57</v>
      </c>
      <c r="D28" s="54"/>
      <c r="E28" s="10">
        <f>SUM(E22:E27)</f>
        <v>1081.83</v>
      </c>
      <c r="F28" s="14">
        <f>E28/$D$3*100</f>
        <v>46.771725032425422</v>
      </c>
      <c r="G28" s="39"/>
    </row>
    <row r="29" spans="1:13" x14ac:dyDescent="0.2">
      <c r="A29" s="1" t="str">
        <f t="shared" si="4"/>
        <v/>
      </c>
      <c r="C29" s="34"/>
      <c r="D29" s="33"/>
      <c r="E29" s="31"/>
      <c r="F29" s="32"/>
    </row>
    <row r="30" spans="1:13" ht="13.5" thickBot="1" x14ac:dyDescent="0.25">
      <c r="A30" s="1" t="str">
        <f t="shared" si="4"/>
        <v/>
      </c>
      <c r="C30" s="125" t="s">
        <v>20</v>
      </c>
      <c r="D30" s="126"/>
      <c r="E30" s="18">
        <f>SUM(E7:E13,E16:E19,E22:E27)</f>
        <v>2362</v>
      </c>
      <c r="F30" s="56">
        <f>E30/$D$3*100</f>
        <v>102.11846087332468</v>
      </c>
    </row>
    <row r="31" spans="1:13" x14ac:dyDescent="0.2">
      <c r="A31" s="1" t="str">
        <f t="shared" si="4"/>
        <v/>
      </c>
    </row>
    <row r="32" spans="1:13" x14ac:dyDescent="0.2">
      <c r="A32" s="1" t="str">
        <f t="shared" si="4"/>
        <v/>
      </c>
    </row>
    <row r="35" spans="3:5" x14ac:dyDescent="0.2">
      <c r="C35" s="53"/>
      <c r="E35" s="16"/>
    </row>
    <row r="36" spans="3:5" x14ac:dyDescent="0.2">
      <c r="C36" s="53"/>
      <c r="E36" s="4"/>
    </row>
    <row r="37" spans="3:5" x14ac:dyDescent="0.2">
      <c r="C37" s="53"/>
      <c r="E37" s="4"/>
    </row>
    <row r="38" spans="3:5" x14ac:dyDescent="0.2">
      <c r="C38" s="53"/>
      <c r="E38" s="4"/>
    </row>
    <row r="39" spans="3:5" x14ac:dyDescent="0.2">
      <c r="C39" s="53"/>
      <c r="E39" s="4"/>
    </row>
    <row r="40" spans="3:5" x14ac:dyDescent="0.2">
      <c r="C40" s="53"/>
      <c r="E40" s="4"/>
    </row>
    <row r="41" spans="3:5" x14ac:dyDescent="0.2">
      <c r="C41" s="53"/>
      <c r="E41" s="4"/>
    </row>
    <row r="43" spans="3:5" x14ac:dyDescent="0.2">
      <c r="C43" s="53"/>
      <c r="E43" s="4"/>
    </row>
    <row r="45" spans="3:5" x14ac:dyDescent="0.2">
      <c r="C45" s="53"/>
      <c r="E45" s="4"/>
    </row>
  </sheetData>
  <mergeCells count="4">
    <mergeCell ref="C30:D30"/>
    <mergeCell ref="I5:J5"/>
    <mergeCell ref="I12:J12"/>
    <mergeCell ref="I21:J21"/>
  </mergeCells>
  <conditionalFormatting sqref="G7:G20 G22:G28">
    <cfRule type="cellIs" dxfId="81" priority="11" stopIfTrue="1" operator="equal">
      <formula>"ok"</formula>
    </cfRule>
  </conditionalFormatting>
  <conditionalFormatting sqref="F16">
    <cfRule type="cellIs" dxfId="80" priority="8" stopIfTrue="1" operator="lessThan">
      <formula>15</formula>
    </cfRule>
    <cfRule type="cellIs" dxfId="79" priority="9" stopIfTrue="1" operator="between">
      <formula>15</formula>
      <formula>19</formula>
    </cfRule>
    <cfRule type="cellIs" dxfId="78" priority="10" stopIfTrue="1" operator="greaterThanOrEqual">
      <formula>20</formula>
    </cfRule>
  </conditionalFormatting>
  <conditionalFormatting sqref="F15 F7:F13 F17:F24 F26:F29">
    <cfRule type="cellIs" dxfId="77" priority="7" stopIfTrue="1" operator="greaterThan">
      <formula>15</formula>
    </cfRule>
  </conditionalFormatting>
  <conditionalFormatting sqref="J3 L3">
    <cfRule type="cellIs" dxfId="76" priority="6" stopIfTrue="1" operator="lessThan">
      <formula>0</formula>
    </cfRule>
  </conditionalFormatting>
  <conditionalFormatting sqref="E8:E13 E22:E24 E26:E28">
    <cfRule type="cellIs" dxfId="75" priority="5" stopIfTrue="1" operator="greaterThan">
      <formula>400</formula>
    </cfRule>
  </conditionalFormatting>
  <conditionalFormatting sqref="E28 E14">
    <cfRule type="cellIs" dxfId="74" priority="4" operator="greaterThan">
      <formula>1100</formula>
    </cfRule>
  </conditionalFormatting>
  <conditionalFormatting sqref="E20">
    <cfRule type="cellIs" dxfId="73" priority="3" operator="lessThan">
      <formula>250</formula>
    </cfRule>
  </conditionalFormatting>
  <conditionalFormatting sqref="F25">
    <cfRule type="cellIs" dxfId="72" priority="2" stopIfTrue="1" operator="greaterThan">
      <formula>15</formula>
    </cfRule>
  </conditionalFormatting>
  <conditionalFormatting sqref="E25">
    <cfRule type="cellIs" dxfId="71" priority="1" stopIfTrue="1" operator="greaterThan">
      <formula>400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45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42578125" style="1" bestFit="1" customWidth="1"/>
    <col min="12" max="12" width="8.28515625" style="1" customWidth="1"/>
    <col min="13" max="13" width="9.28515625" style="1" bestFit="1" customWidth="1"/>
    <col min="14" max="16384" width="9.140625" style="1"/>
  </cols>
  <sheetData>
    <row r="1" spans="1:13" x14ac:dyDescent="0.2">
      <c r="C1" s="3"/>
    </row>
    <row r="2" spans="1:13" x14ac:dyDescent="0.2">
      <c r="C2" s="23" t="s">
        <v>29</v>
      </c>
      <c r="D2" s="24" t="s">
        <v>28</v>
      </c>
      <c r="E2" s="2"/>
      <c r="F2" s="3"/>
      <c r="H2" s="25" t="s">
        <v>56</v>
      </c>
      <c r="J2" s="26" t="s">
        <v>79</v>
      </c>
      <c r="L2" s="8" t="s">
        <v>0</v>
      </c>
    </row>
    <row r="3" spans="1:13" x14ac:dyDescent="0.2">
      <c r="C3" s="16">
        <v>4000</v>
      </c>
      <c r="D3" s="16">
        <v>2395</v>
      </c>
      <c r="E3" s="2"/>
      <c r="F3" s="5"/>
      <c r="G3" s="4"/>
      <c r="H3" s="16">
        <f>D3-SUMIF(D7:D29,40724,E7:E29)</f>
        <v>2395</v>
      </c>
      <c r="I3" s="4"/>
      <c r="J3" s="19">
        <f>D3-E30</f>
        <v>75.130000000000109</v>
      </c>
      <c r="K3" s="20"/>
      <c r="L3" s="21">
        <f>J3/C3*100</f>
        <v>1.8782500000000029</v>
      </c>
      <c r="M3" s="4"/>
    </row>
    <row r="4" spans="1:13" ht="13.5" thickBot="1" x14ac:dyDescent="0.25">
      <c r="E4" s="2"/>
      <c r="F4" s="3"/>
      <c r="H4" s="40"/>
    </row>
    <row r="5" spans="1:13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3" x14ac:dyDescent="0.2">
      <c r="A6" s="1" t="str">
        <f t="shared" ref="A6" si="0">CONCATENATE(B6,G6)</f>
        <v/>
      </c>
      <c r="C6" s="46" t="s">
        <v>38</v>
      </c>
      <c r="D6" s="27"/>
      <c r="E6" s="28"/>
      <c r="F6" s="29"/>
      <c r="I6" s="35" t="s">
        <v>38</v>
      </c>
      <c r="J6" s="37">
        <f>SUMIF(G7:G14,"",E7:E14)</f>
        <v>0</v>
      </c>
    </row>
    <row r="7" spans="1:13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40785</v>
      </c>
      <c r="E7" s="10">
        <f>C3*10%</f>
        <v>400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SUMIF(G17:G20,"",E17:E20)</f>
        <v>0</v>
      </c>
      <c r="L7" s="50"/>
    </row>
    <row r="8" spans="1:13" x14ac:dyDescent="0.2">
      <c r="A8" s="1" t="str">
        <f t="shared" ref="A8:A32" si="1">CONCATENATE(B8,G8)</f>
        <v>ok</v>
      </c>
      <c r="C8" s="47" t="s">
        <v>31</v>
      </c>
      <c r="D8" s="22">
        <v>40785</v>
      </c>
      <c r="E8" s="10">
        <v>277</v>
      </c>
      <c r="F8" s="14">
        <f t="shared" ref="F8:F30" si="2">E8/$D$3*100</f>
        <v>11.565762004175365</v>
      </c>
      <c r="G8" s="51" t="s">
        <v>33</v>
      </c>
      <c r="I8" s="35" t="s">
        <v>44</v>
      </c>
      <c r="J8" s="37">
        <f>SUMIF(G23:G27,"",E23:E27)</f>
        <v>0</v>
      </c>
      <c r="L8" s="50"/>
    </row>
    <row r="9" spans="1:13" x14ac:dyDescent="0.2">
      <c r="A9" s="1" t="str">
        <f t="shared" si="1"/>
        <v>Simok</v>
      </c>
      <c r="B9" s="53" t="s">
        <v>50</v>
      </c>
      <c r="C9" s="47" t="s">
        <v>8</v>
      </c>
      <c r="D9" s="22">
        <v>40785</v>
      </c>
      <c r="E9" s="10">
        <v>100</v>
      </c>
      <c r="F9" s="14">
        <f t="shared" si="2"/>
        <v>4.1753653444676413</v>
      </c>
      <c r="G9" s="51" t="s">
        <v>33</v>
      </c>
      <c r="I9" s="35"/>
      <c r="J9" s="37"/>
    </row>
    <row r="10" spans="1:13" x14ac:dyDescent="0.2">
      <c r="A10" s="1" t="str">
        <f t="shared" si="1"/>
        <v>ok</v>
      </c>
      <c r="B10" s="41"/>
      <c r="C10" s="47" t="s">
        <v>9</v>
      </c>
      <c r="D10" s="22">
        <v>40785</v>
      </c>
      <c r="E10" s="10">
        <v>46.95</v>
      </c>
      <c r="F10" s="14">
        <f t="shared" si="2"/>
        <v>1.9603340292275575</v>
      </c>
      <c r="G10" s="51" t="s">
        <v>33</v>
      </c>
      <c r="H10" s="40"/>
      <c r="I10" s="36" t="s">
        <v>45</v>
      </c>
      <c r="J10" s="38">
        <f>SUM(J6:J8)</f>
        <v>0</v>
      </c>
    </row>
    <row r="11" spans="1:13" x14ac:dyDescent="0.2">
      <c r="A11" s="1" t="str">
        <f t="shared" si="1"/>
        <v>Simok</v>
      </c>
      <c r="B11" s="53" t="s">
        <v>50</v>
      </c>
      <c r="C11" s="47" t="s">
        <v>34</v>
      </c>
      <c r="D11" s="22">
        <v>40785</v>
      </c>
      <c r="E11" s="10">
        <v>0</v>
      </c>
      <c r="F11" s="14">
        <f t="shared" si="2"/>
        <v>0</v>
      </c>
      <c r="G11" s="51" t="s">
        <v>33</v>
      </c>
    </row>
    <row r="12" spans="1:13" x14ac:dyDescent="0.2">
      <c r="A12" s="1" t="str">
        <f t="shared" si="1"/>
        <v>ok</v>
      </c>
      <c r="B12" s="41"/>
      <c r="C12" s="47" t="s">
        <v>36</v>
      </c>
      <c r="D12" s="22">
        <v>40785</v>
      </c>
      <c r="E12" s="10">
        <v>238.7</v>
      </c>
      <c r="F12" s="14">
        <f t="shared" si="2"/>
        <v>9.9665970772442591</v>
      </c>
      <c r="G12" s="51" t="s">
        <v>33</v>
      </c>
      <c r="I12" s="123" t="s">
        <v>35</v>
      </c>
      <c r="J12" s="124"/>
    </row>
    <row r="13" spans="1:13" x14ac:dyDescent="0.2">
      <c r="B13" s="41"/>
      <c r="C13" s="47" t="s">
        <v>85</v>
      </c>
      <c r="D13" s="22">
        <v>40785</v>
      </c>
      <c r="E13" s="10">
        <v>50.84</v>
      </c>
      <c r="F13" s="14">
        <f t="shared" ref="F13" si="3">E13/$D$3*100</f>
        <v>2.122755741127349</v>
      </c>
      <c r="G13" s="51" t="s">
        <v>33</v>
      </c>
      <c r="I13" s="70"/>
      <c r="J13" s="71"/>
    </row>
    <row r="14" spans="1:13" x14ac:dyDescent="0.2">
      <c r="A14" s="1" t="str">
        <f t="shared" si="1"/>
        <v>ok</v>
      </c>
      <c r="C14" s="47" t="s">
        <v>53</v>
      </c>
      <c r="D14" s="22">
        <v>40785</v>
      </c>
      <c r="E14" s="10">
        <v>50</v>
      </c>
      <c r="F14" s="14">
        <f t="shared" si="2"/>
        <v>2.0876826722338206</v>
      </c>
      <c r="G14" s="51" t="s">
        <v>33</v>
      </c>
      <c r="I14" s="35" t="s">
        <v>38</v>
      </c>
      <c r="J14" s="37">
        <f>SUMIF(A7:A16,"sim",E7:E16)</f>
        <v>0</v>
      </c>
    </row>
    <row r="15" spans="1:13" x14ac:dyDescent="0.2">
      <c r="A15" s="1" t="str">
        <f t="shared" si="1"/>
        <v/>
      </c>
      <c r="C15" s="67" t="s">
        <v>57</v>
      </c>
      <c r="D15" s="54"/>
      <c r="E15" s="10">
        <f>SUM(E7:E14)</f>
        <v>1163.49</v>
      </c>
      <c r="F15" s="14">
        <f t="shared" si="2"/>
        <v>48.579958246346557</v>
      </c>
      <c r="G15" s="51"/>
      <c r="I15" s="35" t="s">
        <v>41</v>
      </c>
      <c r="J15" s="37">
        <f>SUMIF(A17:A20,"sim",E17:E22)</f>
        <v>0</v>
      </c>
    </row>
    <row r="16" spans="1:13" x14ac:dyDescent="0.2">
      <c r="A16" s="1" t="str">
        <f t="shared" si="1"/>
        <v/>
      </c>
      <c r="C16" s="46" t="s">
        <v>41</v>
      </c>
      <c r="D16" s="30"/>
      <c r="E16" s="31"/>
      <c r="F16" s="32"/>
      <c r="G16" s="51"/>
      <c r="I16" s="35" t="s">
        <v>44</v>
      </c>
      <c r="J16" s="37">
        <f>SUMIF(A23:A28,"sim",E23:E29)</f>
        <v>0</v>
      </c>
      <c r="L16" s="4"/>
    </row>
    <row r="17" spans="1:13" x14ac:dyDescent="0.2">
      <c r="A17" s="1" t="str">
        <f t="shared" si="1"/>
        <v>ok</v>
      </c>
      <c r="B17" s="41"/>
      <c r="C17" s="47" t="s">
        <v>42</v>
      </c>
      <c r="D17" s="22">
        <v>40785</v>
      </c>
      <c r="E17" s="10">
        <v>0</v>
      </c>
      <c r="F17" s="14">
        <f>E17/$D$3*100</f>
        <v>0</v>
      </c>
      <c r="G17" s="51" t="s">
        <v>33</v>
      </c>
      <c r="I17" s="35"/>
      <c r="J17" s="37"/>
    </row>
    <row r="18" spans="1:13" x14ac:dyDescent="0.2">
      <c r="A18" s="1" t="str">
        <f t="shared" si="1"/>
        <v>Simok</v>
      </c>
      <c r="B18" s="53" t="s">
        <v>50</v>
      </c>
      <c r="C18" s="47" t="s">
        <v>26</v>
      </c>
      <c r="D18" s="22">
        <v>40785</v>
      </c>
      <c r="E18" s="10">
        <v>100</v>
      </c>
      <c r="F18" s="14">
        <f>E18/$D$3*100</f>
        <v>4.1753653444676413</v>
      </c>
      <c r="G18" s="51" t="s">
        <v>33</v>
      </c>
      <c r="I18" s="36" t="s">
        <v>45</v>
      </c>
      <c r="J18" s="38">
        <f>SUM(J14:J17)</f>
        <v>0</v>
      </c>
    </row>
    <row r="19" spans="1:13" x14ac:dyDescent="0.2">
      <c r="A19" s="1" t="str">
        <f t="shared" si="1"/>
        <v>Simok</v>
      </c>
      <c r="B19" s="53" t="s">
        <v>50</v>
      </c>
      <c r="C19" s="47" t="s">
        <v>27</v>
      </c>
      <c r="D19" s="22">
        <v>40785</v>
      </c>
      <c r="E19" s="10">
        <v>100</v>
      </c>
      <c r="F19" s="14">
        <f>E19/$D$3*100</f>
        <v>4.1753653444676413</v>
      </c>
      <c r="G19" s="51" t="s">
        <v>33</v>
      </c>
    </row>
    <row r="20" spans="1:13" x14ac:dyDescent="0.2">
      <c r="A20" s="1" t="str">
        <f t="shared" si="1"/>
        <v>Simok</v>
      </c>
      <c r="B20" s="53" t="s">
        <v>50</v>
      </c>
      <c r="C20" s="47" t="s">
        <v>39</v>
      </c>
      <c r="D20" s="22">
        <v>40785</v>
      </c>
      <c r="E20" s="10">
        <v>0</v>
      </c>
      <c r="F20" s="14">
        <f>E20/$D$3*100</f>
        <v>0</v>
      </c>
      <c r="G20" s="51" t="s">
        <v>33</v>
      </c>
    </row>
    <row r="21" spans="1:13" x14ac:dyDescent="0.2">
      <c r="A21" s="1" t="str">
        <f t="shared" si="1"/>
        <v/>
      </c>
      <c r="B21" s="53"/>
      <c r="C21" s="67" t="s">
        <v>57</v>
      </c>
      <c r="D21" s="54"/>
      <c r="E21" s="10">
        <f>SUM(E17:E20)</f>
        <v>200</v>
      </c>
      <c r="F21" s="14">
        <f t="shared" ref="F21" si="4">E21/$D$3*100</f>
        <v>8.3507306889352826</v>
      </c>
      <c r="G21" s="51"/>
    </row>
    <row r="22" spans="1:13" x14ac:dyDescent="0.2">
      <c r="A22" s="1" t="str">
        <f t="shared" si="1"/>
        <v/>
      </c>
      <c r="B22" s="53"/>
      <c r="C22" s="46" t="s">
        <v>40</v>
      </c>
      <c r="D22" s="33"/>
      <c r="E22" s="31"/>
      <c r="F22" s="32"/>
      <c r="I22" s="123" t="s">
        <v>46</v>
      </c>
      <c r="J22" s="124"/>
    </row>
    <row r="23" spans="1:13" x14ac:dyDescent="0.2">
      <c r="A23" s="1" t="str">
        <f t="shared" si="1"/>
        <v>ok</v>
      </c>
      <c r="C23" s="47" t="s">
        <v>77</v>
      </c>
      <c r="D23" s="22">
        <v>40785</v>
      </c>
      <c r="E23" s="10">
        <v>211.38</v>
      </c>
      <c r="F23" s="14">
        <f>E23/$D$3*100</f>
        <v>8.8258872651356999</v>
      </c>
      <c r="G23" s="51" t="s">
        <v>33</v>
      </c>
      <c r="I23" s="35" t="s">
        <v>3</v>
      </c>
      <c r="J23" s="49" t="s">
        <v>51</v>
      </c>
      <c r="K23" s="4"/>
      <c r="L23" s="50"/>
      <c r="M23" s="50"/>
    </row>
    <row r="24" spans="1:13" x14ac:dyDescent="0.2">
      <c r="A24" s="1" t="str">
        <f t="shared" si="1"/>
        <v>ok</v>
      </c>
      <c r="C24" s="47" t="s">
        <v>78</v>
      </c>
      <c r="D24" s="22">
        <v>40785</v>
      </c>
      <c r="E24" s="10">
        <v>410</v>
      </c>
      <c r="F24" s="14">
        <f>E24/$D$3*100</f>
        <v>17.118997912317326</v>
      </c>
      <c r="G24" s="51" t="s">
        <v>33</v>
      </c>
      <c r="H24" s="4"/>
      <c r="I24" s="48">
        <v>40724</v>
      </c>
      <c r="J24" s="66">
        <v>1654.58</v>
      </c>
      <c r="K24" s="4"/>
      <c r="L24" s="50"/>
      <c r="M24" s="50"/>
    </row>
    <row r="25" spans="1:13" x14ac:dyDescent="0.2">
      <c r="A25" s="1" t="str">
        <f t="shared" si="1"/>
        <v>ok</v>
      </c>
      <c r="C25" s="47" t="s">
        <v>84</v>
      </c>
      <c r="D25" s="22">
        <v>40785</v>
      </c>
      <c r="E25" s="10">
        <v>55</v>
      </c>
      <c r="F25" s="14">
        <f>E25/$D$3*100</f>
        <v>2.2964509394572024</v>
      </c>
      <c r="G25" s="51" t="s">
        <v>33</v>
      </c>
      <c r="I25" s="48"/>
      <c r="J25" s="66"/>
      <c r="K25" s="4"/>
      <c r="L25" s="50"/>
      <c r="M25" s="50"/>
    </row>
    <row r="26" spans="1:13" x14ac:dyDescent="0.2">
      <c r="A26" s="1" t="str">
        <f t="shared" si="1"/>
        <v>ok</v>
      </c>
      <c r="C26" s="47" t="s">
        <v>83</v>
      </c>
      <c r="D26" s="22">
        <v>40785</v>
      </c>
      <c r="E26" s="10">
        <v>280</v>
      </c>
      <c r="F26" s="14">
        <f t="shared" ref="F26" si="5">E26/$D$3*100</f>
        <v>11.691022964509393</v>
      </c>
      <c r="G26" s="51" t="s">
        <v>33</v>
      </c>
      <c r="I26" s="36"/>
      <c r="J26" s="38"/>
      <c r="K26" s="4"/>
      <c r="L26" s="50"/>
      <c r="M26" s="50"/>
    </row>
    <row r="27" spans="1:13" x14ac:dyDescent="0.2">
      <c r="A27" s="1" t="str">
        <f t="shared" si="1"/>
        <v>ok</v>
      </c>
      <c r="B27" s="41"/>
      <c r="C27" s="47" t="s">
        <v>11</v>
      </c>
      <c r="D27" s="22">
        <v>40785</v>
      </c>
      <c r="E27" s="10">
        <v>0</v>
      </c>
      <c r="F27" s="14">
        <f t="shared" si="2"/>
        <v>0</v>
      </c>
      <c r="G27" s="51" t="s">
        <v>33</v>
      </c>
      <c r="I27" s="53" t="s">
        <v>60</v>
      </c>
      <c r="J27" s="57">
        <v>4500</v>
      </c>
      <c r="L27" s="50"/>
    </row>
    <row r="28" spans="1:13" x14ac:dyDescent="0.2">
      <c r="A28" s="1" t="str">
        <f t="shared" si="1"/>
        <v/>
      </c>
      <c r="C28" s="67" t="s">
        <v>57</v>
      </c>
      <c r="D28" s="54"/>
      <c r="E28" s="10">
        <f>SUM(E23:E27)</f>
        <v>956.38</v>
      </c>
      <c r="F28" s="14">
        <f t="shared" si="2"/>
        <v>39.932359081419619</v>
      </c>
      <c r="G28" s="39"/>
    </row>
    <row r="29" spans="1:13" x14ac:dyDescent="0.2">
      <c r="A29" s="1" t="str">
        <f t="shared" si="1"/>
        <v/>
      </c>
      <c r="C29" s="34"/>
      <c r="D29" s="33"/>
      <c r="E29" s="31"/>
      <c r="F29" s="32"/>
    </row>
    <row r="30" spans="1:13" ht="13.5" thickBot="1" x14ac:dyDescent="0.25">
      <c r="A30" s="1" t="str">
        <f t="shared" si="1"/>
        <v/>
      </c>
      <c r="C30" s="125" t="s">
        <v>20</v>
      </c>
      <c r="D30" s="126"/>
      <c r="E30" s="18">
        <f>SUM(E7:E14,E17:E20,E23:E27)</f>
        <v>2319.87</v>
      </c>
      <c r="F30" s="56">
        <f t="shared" si="2"/>
        <v>96.863048016701455</v>
      </c>
    </row>
    <row r="31" spans="1:13" x14ac:dyDescent="0.2">
      <c r="A31" s="1" t="str">
        <f t="shared" si="1"/>
        <v/>
      </c>
    </row>
    <row r="32" spans="1:13" x14ac:dyDescent="0.2">
      <c r="A32" s="1" t="str">
        <f t="shared" si="1"/>
        <v/>
      </c>
    </row>
    <row r="35" spans="3:5" x14ac:dyDescent="0.2">
      <c r="C35" s="53" t="s">
        <v>69</v>
      </c>
      <c r="E35" s="16">
        <v>3382.5</v>
      </c>
    </row>
    <row r="36" spans="3:5" x14ac:dyDescent="0.2">
      <c r="C36" s="53" t="s">
        <v>23</v>
      </c>
      <c r="E36" s="4">
        <f>E35*10%</f>
        <v>338.25</v>
      </c>
    </row>
    <row r="37" spans="3:5" x14ac:dyDescent="0.2">
      <c r="C37" s="53" t="s">
        <v>68</v>
      </c>
      <c r="E37" s="4">
        <v>365</v>
      </c>
    </row>
    <row r="38" spans="3:5" x14ac:dyDescent="0.2">
      <c r="C38" s="53" t="s">
        <v>58</v>
      </c>
      <c r="E38" s="4">
        <v>370</v>
      </c>
    </row>
    <row r="39" spans="3:5" x14ac:dyDescent="0.2">
      <c r="C39" s="53" t="s">
        <v>70</v>
      </c>
      <c r="E39" s="4">
        <v>255.98</v>
      </c>
    </row>
    <row r="40" spans="3:5" x14ac:dyDescent="0.2">
      <c r="C40" s="53" t="s">
        <v>10</v>
      </c>
      <c r="E40" s="4">
        <v>8.42</v>
      </c>
    </row>
    <row r="41" spans="3:5" x14ac:dyDescent="0.2">
      <c r="C41" s="53" t="s">
        <v>73</v>
      </c>
      <c r="E41" s="4">
        <v>44.89</v>
      </c>
    </row>
    <row r="43" spans="3:5" x14ac:dyDescent="0.2">
      <c r="C43" s="53" t="s">
        <v>72</v>
      </c>
      <c r="E43" s="4">
        <f>SUM(E36:E42)</f>
        <v>1382.5400000000002</v>
      </c>
    </row>
    <row r="45" spans="3:5" x14ac:dyDescent="0.2">
      <c r="C45" s="53" t="s">
        <v>71</v>
      </c>
      <c r="E45" s="4">
        <f>E35-E43</f>
        <v>1999.9599999999998</v>
      </c>
    </row>
  </sheetData>
  <mergeCells count="4">
    <mergeCell ref="C30:D30"/>
    <mergeCell ref="I5:J5"/>
    <mergeCell ref="I12:J12"/>
    <mergeCell ref="I22:J22"/>
  </mergeCells>
  <conditionalFormatting sqref="G27:G28 G23:G25 G7:G21">
    <cfRule type="cellIs" dxfId="70" priority="11" stopIfTrue="1" operator="equal">
      <formula>"ok"</formula>
    </cfRule>
  </conditionalFormatting>
  <conditionalFormatting sqref="F27:F29 F16 F18:F25 F7:F14">
    <cfRule type="cellIs" dxfId="69" priority="10" stopIfTrue="1" operator="greaterThan">
      <formula>15</formula>
    </cfRule>
  </conditionalFormatting>
  <conditionalFormatting sqref="J3 L3">
    <cfRule type="cellIs" dxfId="68" priority="8" stopIfTrue="1" operator="lessThan">
      <formula>0</formula>
    </cfRule>
  </conditionalFormatting>
  <conditionalFormatting sqref="F17">
    <cfRule type="cellIs" dxfId="67" priority="5" stopIfTrue="1" operator="lessThan">
      <formula>15</formula>
    </cfRule>
    <cfRule type="cellIs" dxfId="66" priority="6" stopIfTrue="1" operator="between">
      <formula>15</formula>
      <formula>19</formula>
    </cfRule>
    <cfRule type="cellIs" dxfId="65" priority="7" stopIfTrue="1" operator="greaterThanOrEqual">
      <formula>20</formula>
    </cfRule>
  </conditionalFormatting>
  <conditionalFormatting sqref="E27:E28 E23:E25 E8:E14">
    <cfRule type="cellIs" dxfId="64" priority="9" stopIfTrue="1" operator="greaterThan">
      <formula>400</formula>
    </cfRule>
  </conditionalFormatting>
  <conditionalFormatting sqref="E28 E15">
    <cfRule type="cellIs" dxfId="63" priority="12" operator="greaterThan">
      <formula>1100</formula>
    </cfRule>
  </conditionalFormatting>
  <conditionalFormatting sqref="E21">
    <cfRule type="cellIs" dxfId="62" priority="13" operator="lessThan">
      <formula>250</formula>
    </cfRule>
  </conditionalFormatting>
  <conditionalFormatting sqref="G26">
    <cfRule type="cellIs" dxfId="61" priority="4" stopIfTrue="1" operator="equal">
      <formula>"ok"</formula>
    </cfRule>
  </conditionalFormatting>
  <conditionalFormatting sqref="E26">
    <cfRule type="cellIs" dxfId="60" priority="2" stopIfTrue="1" operator="greaterThan">
      <formula>400</formula>
    </cfRule>
  </conditionalFormatting>
  <conditionalFormatting sqref="F26">
    <cfRule type="cellIs" dxfId="59" priority="1" stopIfTrue="1" operator="greaterThan">
      <formula>15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E5" sqref="E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D9-D31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1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240" priority="10" stopIfTrue="1" operator="equal">
      <formula>"ok"</formula>
    </cfRule>
  </conditionalFormatting>
  <conditionalFormatting sqref="E21 E23:E30 E14:E19">
    <cfRule type="cellIs" dxfId="239" priority="9" stopIfTrue="1" operator="greaterThan">
      <formula>15</formula>
    </cfRule>
  </conditionalFormatting>
  <conditionalFormatting sqref="I7:I10">
    <cfRule type="cellIs" dxfId="238" priority="8" stopIfTrue="1" operator="lessThan">
      <formula>0</formula>
    </cfRule>
  </conditionalFormatting>
  <conditionalFormatting sqref="E22">
    <cfRule type="cellIs" dxfId="237" priority="5" stopIfTrue="1" operator="lessThan">
      <formula>15</formula>
    </cfRule>
    <cfRule type="cellIs" dxfId="236" priority="6" stopIfTrue="1" operator="between">
      <formula>15</formula>
      <formula>19</formula>
    </cfRule>
    <cfRule type="cellIs" dxfId="235" priority="7" stopIfTrue="1" operator="greaterThanOrEqual">
      <formula>20</formula>
    </cfRule>
  </conditionalFormatting>
  <conditionalFormatting sqref="D26:D29 D15:D19">
    <cfRule type="cellIs" dxfId="234" priority="4" stopIfTrue="1" operator="greaterThan">
      <formula>400</formula>
    </cfRule>
  </conditionalFormatting>
  <conditionalFormatting sqref="D20 D29">
    <cfRule type="cellIs" dxfId="233" priority="3" operator="greaterThan">
      <formula>1100</formula>
    </cfRule>
  </conditionalFormatting>
  <conditionalFormatting sqref="D24">
    <cfRule type="cellIs" dxfId="232" priority="2" operator="lessThan">
      <formula>250</formula>
    </cfRule>
  </conditionalFormatting>
  <conditionalFormatting sqref="D26:D27 D17">
    <cfRule type="cellIs" dxfId="23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M43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42578125" style="1" bestFit="1" customWidth="1"/>
    <col min="12" max="12" width="8.28515625" style="1" customWidth="1"/>
    <col min="13" max="13" width="9.28515625" style="1" bestFit="1" customWidth="1"/>
    <col min="14" max="16384" width="9.140625" style="1"/>
  </cols>
  <sheetData>
    <row r="1" spans="1:13" x14ac:dyDescent="0.2">
      <c r="C1" s="3"/>
    </row>
    <row r="2" spans="1:13" x14ac:dyDescent="0.2">
      <c r="C2" s="23" t="s">
        <v>29</v>
      </c>
      <c r="D2" s="24" t="s">
        <v>28</v>
      </c>
      <c r="E2" s="2"/>
      <c r="F2" s="3"/>
      <c r="H2" s="25" t="s">
        <v>56</v>
      </c>
      <c r="J2" s="26" t="s">
        <v>79</v>
      </c>
      <c r="L2" s="8" t="s">
        <v>0</v>
      </c>
    </row>
    <row r="3" spans="1:13" x14ac:dyDescent="0.2">
      <c r="C3" s="16">
        <v>4000</v>
      </c>
      <c r="D3" s="16">
        <v>2395</v>
      </c>
      <c r="E3" s="2"/>
      <c r="F3" s="5"/>
      <c r="G3" s="4"/>
      <c r="H3" s="16">
        <f>D3-SUMIF(D7:D27,40724,E7:E27)</f>
        <v>2395</v>
      </c>
      <c r="I3" s="4"/>
      <c r="J3" s="19">
        <f>D3-E28</f>
        <v>218.47000000000025</v>
      </c>
      <c r="K3" s="20"/>
      <c r="L3" s="21">
        <f>J3/C3*100</f>
        <v>5.4617500000000065</v>
      </c>
      <c r="M3" s="4"/>
    </row>
    <row r="4" spans="1:13" ht="13.5" thickBot="1" x14ac:dyDescent="0.25">
      <c r="E4" s="2"/>
      <c r="F4" s="3"/>
      <c r="H4" s="40"/>
    </row>
    <row r="5" spans="1:13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3" x14ac:dyDescent="0.2">
      <c r="A6" s="1" t="str">
        <f t="shared" ref="A6:A24" si="0">CONCATENATE(B6,G6)</f>
        <v/>
      </c>
      <c r="C6" s="46" t="s">
        <v>38</v>
      </c>
      <c r="D6" s="27"/>
      <c r="E6" s="28"/>
      <c r="F6" s="29"/>
      <c r="I6" s="35" t="s">
        <v>38</v>
      </c>
      <c r="J6" s="37">
        <f>SUMIF(G7:G13,"",E7:E13)</f>
        <v>0</v>
      </c>
    </row>
    <row r="7" spans="1:13" x14ac:dyDescent="0.2">
      <c r="A7" s="1" t="str">
        <f t="shared" si="0"/>
        <v>Simokok</v>
      </c>
      <c r="B7" s="41" t="str">
        <f>CONCATENATE("Sim",G7)</f>
        <v>Simok</v>
      </c>
      <c r="C7" s="47" t="s">
        <v>23</v>
      </c>
      <c r="D7" s="22">
        <v>40816</v>
      </c>
      <c r="E7" s="10">
        <f>C3*10%</f>
        <v>400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SUMIF(G16:G19,"",E16:E19)</f>
        <v>0</v>
      </c>
      <c r="L7" s="50"/>
    </row>
    <row r="8" spans="1:13" x14ac:dyDescent="0.2">
      <c r="A8" s="1" t="str">
        <f t="shared" si="0"/>
        <v>ok</v>
      </c>
      <c r="C8" s="47" t="s">
        <v>31</v>
      </c>
      <c r="D8" s="22">
        <v>40816</v>
      </c>
      <c r="E8" s="10">
        <v>277</v>
      </c>
      <c r="F8" s="14">
        <f t="shared" ref="F8:F14" si="1">E8/$D$3*100</f>
        <v>11.565762004175365</v>
      </c>
      <c r="G8" s="2" t="s">
        <v>33</v>
      </c>
      <c r="I8" s="35" t="s">
        <v>44</v>
      </c>
      <c r="J8" s="37">
        <f>SUMIF(G22:G25,"",E22:E25)</f>
        <v>0</v>
      </c>
      <c r="L8" s="50"/>
    </row>
    <row r="9" spans="1:13" x14ac:dyDescent="0.2">
      <c r="A9" s="1" t="str">
        <f t="shared" si="0"/>
        <v>Simok</v>
      </c>
      <c r="B9" s="53" t="s">
        <v>50</v>
      </c>
      <c r="C9" s="47" t="s">
        <v>8</v>
      </c>
      <c r="D9" s="22">
        <v>40816</v>
      </c>
      <c r="E9" s="10">
        <v>100</v>
      </c>
      <c r="F9" s="14">
        <f t="shared" si="1"/>
        <v>4.1753653444676413</v>
      </c>
      <c r="G9" s="51" t="s">
        <v>33</v>
      </c>
      <c r="I9" s="35"/>
      <c r="J9" s="37"/>
    </row>
    <row r="10" spans="1:13" x14ac:dyDescent="0.2">
      <c r="A10" s="1" t="str">
        <f t="shared" si="0"/>
        <v>ok</v>
      </c>
      <c r="B10" s="41"/>
      <c r="C10" s="47" t="s">
        <v>9</v>
      </c>
      <c r="D10" s="22">
        <v>40816</v>
      </c>
      <c r="E10" s="10">
        <v>43.09</v>
      </c>
      <c r="F10" s="14">
        <f t="shared" si="1"/>
        <v>1.7991649269311065</v>
      </c>
      <c r="G10" s="51" t="s">
        <v>33</v>
      </c>
      <c r="H10" s="40"/>
      <c r="I10" s="36" t="s">
        <v>45</v>
      </c>
      <c r="J10" s="38">
        <f>SUM(J6:J8)</f>
        <v>0</v>
      </c>
    </row>
    <row r="11" spans="1:13" x14ac:dyDescent="0.2">
      <c r="A11" s="1" t="str">
        <f t="shared" si="0"/>
        <v>ok</v>
      </c>
      <c r="B11" s="41"/>
      <c r="C11" s="47" t="s">
        <v>85</v>
      </c>
      <c r="D11" s="22">
        <v>40816</v>
      </c>
      <c r="E11" s="10">
        <v>94.98</v>
      </c>
      <c r="F11" s="14">
        <f t="shared" si="1"/>
        <v>3.9657620041753652</v>
      </c>
      <c r="G11" s="51" t="s">
        <v>33</v>
      </c>
      <c r="I11" s="123" t="s">
        <v>35</v>
      </c>
      <c r="J11" s="124"/>
    </row>
    <row r="12" spans="1:13" x14ac:dyDescent="0.2">
      <c r="A12" s="1" t="str">
        <f t="shared" ref="A12" si="2">CONCATENATE(B12,G12)</f>
        <v>ok</v>
      </c>
      <c r="B12" s="41"/>
      <c r="C12" s="47" t="s">
        <v>36</v>
      </c>
      <c r="D12" s="22">
        <v>40816</v>
      </c>
      <c r="E12" s="10">
        <v>146.69999999999999</v>
      </c>
      <c r="F12" s="14">
        <f t="shared" si="1"/>
        <v>6.1252609603340291</v>
      </c>
      <c r="G12" s="51" t="s">
        <v>33</v>
      </c>
      <c r="I12" s="123" t="s">
        <v>35</v>
      </c>
      <c r="J12" s="124"/>
    </row>
    <row r="13" spans="1:13" x14ac:dyDescent="0.2">
      <c r="A13" s="1" t="str">
        <f t="shared" si="0"/>
        <v>ok</v>
      </c>
      <c r="C13" s="47" t="s">
        <v>53</v>
      </c>
      <c r="D13" s="22">
        <v>40816</v>
      </c>
      <c r="E13" s="10">
        <v>49.85</v>
      </c>
      <c r="F13" s="14">
        <f t="shared" si="1"/>
        <v>2.0814196242171188</v>
      </c>
      <c r="G13" s="51" t="s">
        <v>33</v>
      </c>
      <c r="I13" s="35" t="s">
        <v>38</v>
      </c>
      <c r="J13" s="37">
        <f>SUMIF(A7:A15,"sim",E7:E15)</f>
        <v>0</v>
      </c>
    </row>
    <row r="14" spans="1:13" x14ac:dyDescent="0.2">
      <c r="A14" s="1" t="str">
        <f t="shared" si="0"/>
        <v/>
      </c>
      <c r="C14" s="67" t="s">
        <v>57</v>
      </c>
      <c r="D14" s="54"/>
      <c r="E14" s="10">
        <f>SUM(E7:E13)</f>
        <v>1111.6199999999999</v>
      </c>
      <c r="F14" s="14">
        <f t="shared" si="1"/>
        <v>46.414196242171187</v>
      </c>
      <c r="G14" s="51"/>
      <c r="I14" s="35" t="s">
        <v>41</v>
      </c>
      <c r="J14" s="37">
        <f>SUMIF(A16:A19,"sim",E16:E21)</f>
        <v>0</v>
      </c>
    </row>
    <row r="15" spans="1:13" x14ac:dyDescent="0.2">
      <c r="A15" s="1" t="str">
        <f t="shared" si="0"/>
        <v/>
      </c>
      <c r="C15" s="46" t="s">
        <v>41</v>
      </c>
      <c r="D15" s="30"/>
      <c r="E15" s="31"/>
      <c r="F15" s="32"/>
      <c r="G15" s="51"/>
      <c r="I15" s="35" t="s">
        <v>44</v>
      </c>
      <c r="J15" s="37">
        <f>SUMIF(A22:A26,"sim",E22:E27)</f>
        <v>0</v>
      </c>
      <c r="L15" s="4"/>
    </row>
    <row r="16" spans="1:13" x14ac:dyDescent="0.2">
      <c r="A16" s="1" t="str">
        <f t="shared" si="0"/>
        <v>ok</v>
      </c>
      <c r="B16" s="41"/>
      <c r="C16" s="47" t="s">
        <v>42</v>
      </c>
      <c r="D16" s="22">
        <v>40816</v>
      </c>
      <c r="E16" s="10">
        <v>0</v>
      </c>
      <c r="F16" s="14">
        <f>E16/$D$3*100</f>
        <v>0</v>
      </c>
      <c r="G16" s="51" t="s">
        <v>33</v>
      </c>
      <c r="I16" s="35"/>
      <c r="J16" s="37"/>
    </row>
    <row r="17" spans="1:13" x14ac:dyDescent="0.2">
      <c r="A17" s="1" t="str">
        <f t="shared" si="0"/>
        <v>Simok</v>
      </c>
      <c r="B17" s="53" t="s">
        <v>50</v>
      </c>
      <c r="C17" s="47" t="s">
        <v>26</v>
      </c>
      <c r="D17" s="22">
        <v>40816</v>
      </c>
      <c r="E17" s="10">
        <v>100</v>
      </c>
      <c r="F17" s="14">
        <f>E17/$D$3*100</f>
        <v>4.1753653444676413</v>
      </c>
      <c r="G17" s="51" t="s">
        <v>33</v>
      </c>
      <c r="I17" s="36" t="s">
        <v>45</v>
      </c>
      <c r="J17" s="38">
        <f>SUM(J13:J16)</f>
        <v>0</v>
      </c>
    </row>
    <row r="18" spans="1:13" x14ac:dyDescent="0.2">
      <c r="A18" s="1" t="str">
        <f t="shared" si="0"/>
        <v>Simok</v>
      </c>
      <c r="B18" s="53" t="s">
        <v>50</v>
      </c>
      <c r="C18" s="47" t="s">
        <v>27</v>
      </c>
      <c r="D18" s="22">
        <v>40816</v>
      </c>
      <c r="E18" s="10">
        <v>100</v>
      </c>
      <c r="F18" s="14">
        <f>E18/$D$3*100</f>
        <v>4.1753653444676413</v>
      </c>
      <c r="G18" s="51" t="s">
        <v>33</v>
      </c>
    </row>
    <row r="19" spans="1:13" x14ac:dyDescent="0.2">
      <c r="A19" s="1" t="str">
        <f t="shared" si="0"/>
        <v>Simok</v>
      </c>
      <c r="B19" s="53" t="s">
        <v>50</v>
      </c>
      <c r="C19" s="47" t="s">
        <v>39</v>
      </c>
      <c r="D19" s="22">
        <v>40816</v>
      </c>
      <c r="E19" s="10">
        <v>30</v>
      </c>
      <c r="F19" s="14">
        <f>E19/$D$3*100</f>
        <v>1.2526096033402923</v>
      </c>
      <c r="G19" s="51" t="s">
        <v>33</v>
      </c>
    </row>
    <row r="20" spans="1:13" x14ac:dyDescent="0.2">
      <c r="A20" s="1" t="str">
        <f t="shared" si="0"/>
        <v/>
      </c>
      <c r="B20" s="53"/>
      <c r="C20" s="67" t="s">
        <v>57</v>
      </c>
      <c r="D20" s="54"/>
      <c r="E20" s="10">
        <f>SUM(E16:E19)</f>
        <v>230</v>
      </c>
      <c r="F20" s="14">
        <f t="shared" ref="F20" si="3">E20/$D$3*100</f>
        <v>9.6033402922755737</v>
      </c>
      <c r="G20" s="51"/>
    </row>
    <row r="21" spans="1:13" x14ac:dyDescent="0.2">
      <c r="A21" s="1" t="str">
        <f t="shared" si="0"/>
        <v/>
      </c>
      <c r="B21" s="53"/>
      <c r="C21" s="46" t="s">
        <v>40</v>
      </c>
      <c r="D21" s="33"/>
      <c r="E21" s="31"/>
      <c r="F21" s="32"/>
      <c r="I21" s="123" t="s">
        <v>46</v>
      </c>
      <c r="J21" s="124"/>
    </row>
    <row r="22" spans="1:13" x14ac:dyDescent="0.2">
      <c r="A22" s="1" t="str">
        <f t="shared" si="0"/>
        <v>ok</v>
      </c>
      <c r="C22" s="47" t="s">
        <v>77</v>
      </c>
      <c r="D22" s="22">
        <v>40816</v>
      </c>
      <c r="E22" s="10">
        <v>74.91</v>
      </c>
      <c r="F22" s="14">
        <f>E22/$D$3*100</f>
        <v>3.1277661795407101</v>
      </c>
      <c r="G22" s="51" t="s">
        <v>33</v>
      </c>
      <c r="I22" s="35" t="s">
        <v>3</v>
      </c>
      <c r="J22" s="49" t="s">
        <v>51</v>
      </c>
      <c r="K22" s="4"/>
      <c r="L22" s="50"/>
      <c r="M22" s="50"/>
    </row>
    <row r="23" spans="1:13" x14ac:dyDescent="0.2">
      <c r="A23" s="1" t="str">
        <f t="shared" si="0"/>
        <v>ok</v>
      </c>
      <c r="C23" s="47" t="s">
        <v>78</v>
      </c>
      <c r="D23" s="22">
        <v>40816</v>
      </c>
      <c r="E23" s="10">
        <v>650</v>
      </c>
      <c r="F23" s="14">
        <f>E23/$D$3*100</f>
        <v>27.139874739039666</v>
      </c>
      <c r="G23" s="51" t="s">
        <v>33</v>
      </c>
      <c r="I23" s="48">
        <v>40724</v>
      </c>
      <c r="J23" s="66">
        <v>1654.58</v>
      </c>
      <c r="K23" s="4"/>
      <c r="L23" s="50"/>
      <c r="M23" s="50"/>
    </row>
    <row r="24" spans="1:13" x14ac:dyDescent="0.2">
      <c r="A24" s="1" t="str">
        <f t="shared" si="0"/>
        <v>ok</v>
      </c>
      <c r="C24" s="47" t="s">
        <v>84</v>
      </c>
      <c r="D24" s="22">
        <v>40816</v>
      </c>
      <c r="E24" s="10">
        <v>110</v>
      </c>
      <c r="F24" s="14">
        <f>E24/$D$3*100</f>
        <v>4.5929018789144047</v>
      </c>
      <c r="G24" s="51" t="s">
        <v>33</v>
      </c>
      <c r="I24" s="48"/>
      <c r="J24" s="66"/>
      <c r="K24" s="4"/>
      <c r="L24" s="50"/>
      <c r="M24" s="50"/>
    </row>
    <row r="25" spans="1:13" x14ac:dyDescent="0.2">
      <c r="A25" s="1" t="str">
        <f t="shared" ref="A25:A30" si="4">CONCATENATE(B25,G25)</f>
        <v>ok</v>
      </c>
      <c r="B25" s="41"/>
      <c r="C25" s="47" t="s">
        <v>11</v>
      </c>
      <c r="D25" s="22">
        <v>40816</v>
      </c>
      <c r="E25" s="10">
        <v>0</v>
      </c>
      <c r="F25" s="14">
        <f>E25/$D$3*100</f>
        <v>0</v>
      </c>
      <c r="G25" s="51" t="s">
        <v>33</v>
      </c>
      <c r="I25" s="53" t="s">
        <v>60</v>
      </c>
      <c r="J25" s="57">
        <v>4500</v>
      </c>
      <c r="L25" s="50"/>
    </row>
    <row r="26" spans="1:13" x14ac:dyDescent="0.2">
      <c r="A26" s="1" t="str">
        <f t="shared" si="4"/>
        <v/>
      </c>
      <c r="C26" s="67" t="s">
        <v>57</v>
      </c>
      <c r="D26" s="54"/>
      <c r="E26" s="10">
        <f>SUM(E22:E25)</f>
        <v>834.91</v>
      </c>
      <c r="F26" s="14">
        <f>E26/$D$3*100</f>
        <v>34.86054279749478</v>
      </c>
      <c r="G26" s="39"/>
    </row>
    <row r="27" spans="1:13" x14ac:dyDescent="0.2">
      <c r="A27" s="1" t="str">
        <f t="shared" si="4"/>
        <v/>
      </c>
      <c r="C27" s="34"/>
      <c r="D27" s="33"/>
      <c r="E27" s="31"/>
      <c r="F27" s="32"/>
    </row>
    <row r="28" spans="1:13" ht="13.5" thickBot="1" x14ac:dyDescent="0.25">
      <c r="A28" s="1" t="str">
        <f t="shared" si="4"/>
        <v/>
      </c>
      <c r="C28" s="125" t="s">
        <v>20</v>
      </c>
      <c r="D28" s="126"/>
      <c r="E28" s="18">
        <f>SUM(E7:E13,E16:E19,E22:E25)</f>
        <v>2176.5299999999997</v>
      </c>
      <c r="F28" s="56">
        <f>E28/$D$3*100</f>
        <v>90.878079331941535</v>
      </c>
    </row>
    <row r="29" spans="1:13" x14ac:dyDescent="0.2">
      <c r="A29" s="1" t="str">
        <f t="shared" si="4"/>
        <v/>
      </c>
    </row>
    <row r="30" spans="1:13" x14ac:dyDescent="0.2">
      <c r="A30" s="1" t="str">
        <f t="shared" si="4"/>
        <v/>
      </c>
    </row>
    <row r="33" spans="3:5" x14ac:dyDescent="0.2">
      <c r="C33" s="53" t="s">
        <v>69</v>
      </c>
      <c r="E33" s="16">
        <v>3382.5</v>
      </c>
    </row>
    <row r="34" spans="3:5" x14ac:dyDescent="0.2">
      <c r="C34" s="53" t="s">
        <v>23</v>
      </c>
      <c r="E34" s="4">
        <f>E33*10%</f>
        <v>338.25</v>
      </c>
    </row>
    <row r="35" spans="3:5" x14ac:dyDescent="0.2">
      <c r="C35" s="53" t="s">
        <v>68</v>
      </c>
      <c r="E35" s="4">
        <v>365</v>
      </c>
    </row>
    <row r="36" spans="3:5" x14ac:dyDescent="0.2">
      <c r="C36" s="53" t="s">
        <v>58</v>
      </c>
      <c r="E36" s="4">
        <v>370</v>
      </c>
    </row>
    <row r="37" spans="3:5" x14ac:dyDescent="0.2">
      <c r="C37" s="53" t="s">
        <v>70</v>
      </c>
      <c r="E37" s="4">
        <v>255.98</v>
      </c>
    </row>
    <row r="38" spans="3:5" x14ac:dyDescent="0.2">
      <c r="C38" s="53" t="s">
        <v>10</v>
      </c>
      <c r="E38" s="4">
        <v>8.42</v>
      </c>
    </row>
    <row r="39" spans="3:5" x14ac:dyDescent="0.2">
      <c r="C39" s="53" t="s">
        <v>73</v>
      </c>
      <c r="E39" s="4">
        <v>44.89</v>
      </c>
    </row>
    <row r="41" spans="3:5" x14ac:dyDescent="0.2">
      <c r="C41" s="53" t="s">
        <v>72</v>
      </c>
      <c r="E41" s="4">
        <f>SUM(E34:E40)</f>
        <v>1382.5400000000002</v>
      </c>
    </row>
    <row r="43" spans="3:5" x14ac:dyDescent="0.2">
      <c r="C43" s="53" t="s">
        <v>71</v>
      </c>
      <c r="E43" s="4">
        <f>E33-E41</f>
        <v>1999.9599999999998</v>
      </c>
    </row>
  </sheetData>
  <mergeCells count="5">
    <mergeCell ref="C28:D28"/>
    <mergeCell ref="I5:J5"/>
    <mergeCell ref="I11:J11"/>
    <mergeCell ref="I21:J21"/>
    <mergeCell ref="I12:J12"/>
  </mergeCells>
  <conditionalFormatting sqref="G22:G26 G7:G20">
    <cfRule type="cellIs" dxfId="58" priority="9" stopIfTrue="1" operator="equal">
      <formula>"ok"</formula>
    </cfRule>
  </conditionalFormatting>
  <conditionalFormatting sqref="F15 F17:F27 F7:F13">
    <cfRule type="cellIs" dxfId="57" priority="8" stopIfTrue="1" operator="greaterThan">
      <formula>15</formula>
    </cfRule>
  </conditionalFormatting>
  <conditionalFormatting sqref="J3 L3">
    <cfRule type="cellIs" dxfId="56" priority="7" stopIfTrue="1" operator="lessThan">
      <formula>0</formula>
    </cfRule>
  </conditionalFormatting>
  <conditionalFormatting sqref="F16">
    <cfRule type="cellIs" dxfId="55" priority="4" stopIfTrue="1" operator="lessThan">
      <formula>15</formula>
    </cfRule>
    <cfRule type="cellIs" dxfId="54" priority="5" stopIfTrue="1" operator="between">
      <formula>15</formula>
      <formula>19</formula>
    </cfRule>
    <cfRule type="cellIs" dxfId="53" priority="6" stopIfTrue="1" operator="greaterThanOrEqual">
      <formula>20</formula>
    </cfRule>
  </conditionalFormatting>
  <conditionalFormatting sqref="E22:E26 E8:E13">
    <cfRule type="cellIs" dxfId="52" priority="3" stopIfTrue="1" operator="greaterThan">
      <formula>700</formula>
    </cfRule>
  </conditionalFormatting>
  <conditionalFormatting sqref="E26 E14">
    <cfRule type="cellIs" dxfId="51" priority="2" operator="greaterThan">
      <formula>1100</formula>
    </cfRule>
  </conditionalFormatting>
  <conditionalFormatting sqref="E20">
    <cfRule type="cellIs" dxfId="50" priority="1" operator="lessThan">
      <formula>250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N53"/>
  <sheetViews>
    <sheetView topLeftCell="C1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4" width="11" style="1" bestFit="1" customWidth="1"/>
    <col min="5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12" style="1" bestFit="1" customWidth="1"/>
    <col min="12" max="12" width="8.28515625" style="1" customWidth="1"/>
    <col min="13" max="13" width="9.28515625" style="1" bestFit="1" customWidth="1"/>
    <col min="14" max="16384" width="9.140625" style="1"/>
  </cols>
  <sheetData>
    <row r="1" spans="1:14" x14ac:dyDescent="0.2">
      <c r="C1" s="3"/>
    </row>
    <row r="2" spans="1:14" x14ac:dyDescent="0.2">
      <c r="C2" s="23" t="s">
        <v>29</v>
      </c>
      <c r="D2" s="24" t="s">
        <v>28</v>
      </c>
      <c r="E2" s="2"/>
      <c r="F2" s="3"/>
      <c r="H2" s="25" t="s">
        <v>56</v>
      </c>
      <c r="J2" s="26" t="s">
        <v>79</v>
      </c>
      <c r="L2" s="8" t="s">
        <v>0</v>
      </c>
    </row>
    <row r="3" spans="1:14" x14ac:dyDescent="0.2">
      <c r="C3" s="16">
        <f>4000+660+657+2200</f>
        <v>7517</v>
      </c>
      <c r="D3" s="16">
        <f>4500+660+657</f>
        <v>5817</v>
      </c>
      <c r="E3" s="2"/>
      <c r="F3" s="5"/>
      <c r="G3" s="4"/>
      <c r="H3" s="16">
        <f>D3-SUMIF(D7:D35,40847,E7:E35)</f>
        <v>1557.2700000000004</v>
      </c>
      <c r="I3" s="4"/>
      <c r="J3" s="19">
        <f>D3-E36</f>
        <v>846.55000000000109</v>
      </c>
      <c r="K3" s="20"/>
      <c r="L3" s="21">
        <f>J3/C3*100</f>
        <v>11.261806571770668</v>
      </c>
      <c r="M3" s="4"/>
    </row>
    <row r="4" spans="1:14" ht="13.5" thickBot="1" x14ac:dyDescent="0.25">
      <c r="E4" s="2"/>
      <c r="F4" s="3"/>
      <c r="H4" s="40"/>
    </row>
    <row r="5" spans="1:14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4" x14ac:dyDescent="0.2">
      <c r="A6" s="1" t="str">
        <f t="shared" ref="A6" si="0">CONCATENATE(B6,G6)</f>
        <v/>
      </c>
      <c r="C6" s="46" t="s">
        <v>38</v>
      </c>
      <c r="D6" s="27"/>
      <c r="E6" s="28"/>
      <c r="F6" s="29"/>
      <c r="I6" s="35" t="s">
        <v>38</v>
      </c>
      <c r="J6" s="37">
        <f>SUMIF(G7:G13,"",E7:E13)</f>
        <v>0</v>
      </c>
    </row>
    <row r="7" spans="1:14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40847</v>
      </c>
      <c r="E7" s="10">
        <f>C3*10%</f>
        <v>751.7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SUMIF(G16:G19,"",E16:E19)</f>
        <v>0</v>
      </c>
      <c r="L7" s="50"/>
    </row>
    <row r="8" spans="1:14" x14ac:dyDescent="0.2">
      <c r="A8" s="1" t="str">
        <f t="shared" ref="A8:A38" si="1">CONCATENATE(B8,G8)</f>
        <v>ok</v>
      </c>
      <c r="C8" s="47" t="s">
        <v>31</v>
      </c>
      <c r="D8" s="22">
        <v>40847</v>
      </c>
      <c r="E8" s="10">
        <v>277</v>
      </c>
      <c r="F8" s="14">
        <f t="shared" ref="F8:F36" si="2">E8/$D$3*100</f>
        <v>4.7619047619047619</v>
      </c>
      <c r="G8" s="2" t="s">
        <v>33</v>
      </c>
      <c r="I8" s="35" t="s">
        <v>44</v>
      </c>
      <c r="J8" s="37">
        <f>SUMIF(G22:G33,"",E22:E33)</f>
        <v>0</v>
      </c>
      <c r="L8" s="50"/>
    </row>
    <row r="9" spans="1:14" x14ac:dyDescent="0.2">
      <c r="A9" s="1" t="str">
        <f t="shared" si="1"/>
        <v>Simok</v>
      </c>
      <c r="B9" s="53" t="s">
        <v>50</v>
      </c>
      <c r="C9" s="47" t="s">
        <v>8</v>
      </c>
      <c r="D9" s="22">
        <v>40847</v>
      </c>
      <c r="E9" s="10">
        <v>100</v>
      </c>
      <c r="F9" s="14">
        <f t="shared" si="2"/>
        <v>1.7190991920233798</v>
      </c>
      <c r="G9" s="51" t="s">
        <v>33</v>
      </c>
      <c r="I9" s="35"/>
      <c r="J9" s="37"/>
      <c r="N9" s="40"/>
    </row>
    <row r="10" spans="1:14" x14ac:dyDescent="0.2">
      <c r="A10" s="1" t="str">
        <f t="shared" si="1"/>
        <v>ok</v>
      </c>
      <c r="B10" s="41"/>
      <c r="C10" s="47" t="s">
        <v>9</v>
      </c>
      <c r="D10" s="22">
        <v>40847</v>
      </c>
      <c r="E10" s="10">
        <v>36.03</v>
      </c>
      <c r="F10" s="14">
        <f t="shared" si="2"/>
        <v>0.61939143888602377</v>
      </c>
      <c r="G10" s="51" t="s">
        <v>33</v>
      </c>
      <c r="H10" s="40"/>
      <c r="I10" s="36" t="s">
        <v>45</v>
      </c>
      <c r="J10" s="38">
        <f>SUM(J6:J8)</f>
        <v>0</v>
      </c>
    </row>
    <row r="11" spans="1:14" x14ac:dyDescent="0.2">
      <c r="A11" s="1" t="str">
        <f t="shared" si="1"/>
        <v>ok</v>
      </c>
      <c r="B11" s="41"/>
      <c r="C11" s="47" t="s">
        <v>85</v>
      </c>
      <c r="D11" s="22">
        <v>40847</v>
      </c>
      <c r="E11" s="10">
        <v>108.7</v>
      </c>
      <c r="F11" s="14">
        <f t="shared" si="2"/>
        <v>1.8686608217294138</v>
      </c>
      <c r="G11" s="51" t="s">
        <v>33</v>
      </c>
    </row>
    <row r="12" spans="1:14" x14ac:dyDescent="0.2">
      <c r="A12" s="1" t="str">
        <f t="shared" ref="A12" si="3">CONCATENATE(B12,G12)</f>
        <v>ok</v>
      </c>
      <c r="B12" s="41"/>
      <c r="C12" s="47" t="s">
        <v>36</v>
      </c>
      <c r="D12" s="22">
        <v>40847</v>
      </c>
      <c r="E12" s="10">
        <v>35</v>
      </c>
      <c r="F12" s="14">
        <f t="shared" ref="F12" si="4">E12/$D$3*100</f>
        <v>0.60168471720818295</v>
      </c>
      <c r="G12" s="51" t="s">
        <v>33</v>
      </c>
    </row>
    <row r="13" spans="1:14" x14ac:dyDescent="0.2">
      <c r="A13" s="1" t="str">
        <f t="shared" si="1"/>
        <v>ok</v>
      </c>
      <c r="C13" s="47" t="s">
        <v>53</v>
      </c>
      <c r="D13" s="22">
        <v>40847</v>
      </c>
      <c r="E13" s="10">
        <v>49.85</v>
      </c>
      <c r="F13" s="14">
        <f t="shared" si="2"/>
        <v>0.85697094722365486</v>
      </c>
      <c r="G13" s="51" t="s">
        <v>33</v>
      </c>
      <c r="I13" s="123" t="s">
        <v>35</v>
      </c>
      <c r="J13" s="124"/>
    </row>
    <row r="14" spans="1:14" x14ac:dyDescent="0.2">
      <c r="A14" s="1" t="str">
        <f t="shared" si="1"/>
        <v/>
      </c>
      <c r="C14" s="67" t="s">
        <v>57</v>
      </c>
      <c r="D14" s="54"/>
      <c r="E14" s="10">
        <f>SUM(E7:E13)</f>
        <v>1358.28</v>
      </c>
      <c r="F14" s="14">
        <f t="shared" si="2"/>
        <v>23.35018050541516</v>
      </c>
      <c r="G14" s="51"/>
      <c r="I14" s="35" t="s">
        <v>38</v>
      </c>
      <c r="J14" s="37">
        <f>SUMIF(A7:A15,"sim",E7:E15)</f>
        <v>0</v>
      </c>
    </row>
    <row r="15" spans="1:14" x14ac:dyDescent="0.2">
      <c r="A15" s="1" t="str">
        <f t="shared" si="1"/>
        <v/>
      </c>
      <c r="C15" s="46" t="s">
        <v>41</v>
      </c>
      <c r="D15" s="30"/>
      <c r="E15" s="31"/>
      <c r="F15" s="32"/>
      <c r="G15" s="51"/>
      <c r="I15" s="35" t="s">
        <v>41</v>
      </c>
      <c r="J15" s="37">
        <f>SUMIF(A16:A19,"sim",E16:E21)</f>
        <v>0</v>
      </c>
      <c r="L15" s="4"/>
    </row>
    <row r="16" spans="1:14" x14ac:dyDescent="0.2">
      <c r="A16" s="1" t="str">
        <f t="shared" si="1"/>
        <v>ok</v>
      </c>
      <c r="B16" s="41"/>
      <c r="C16" s="47" t="s">
        <v>42</v>
      </c>
      <c r="D16" s="22">
        <v>40847</v>
      </c>
      <c r="E16" s="10">
        <v>0</v>
      </c>
      <c r="F16" s="14">
        <f>E16/$D$3*100</f>
        <v>0</v>
      </c>
      <c r="G16" s="51" t="s">
        <v>33</v>
      </c>
      <c r="I16" s="35" t="s">
        <v>44</v>
      </c>
      <c r="J16" s="37">
        <f>SUMIF(A22:A34,"sim",E22:E35)</f>
        <v>0</v>
      </c>
    </row>
    <row r="17" spans="1:13" x14ac:dyDescent="0.2">
      <c r="A17" s="1" t="str">
        <f t="shared" si="1"/>
        <v>Simok</v>
      </c>
      <c r="B17" s="53" t="s">
        <v>50</v>
      </c>
      <c r="C17" s="47" t="s">
        <v>26</v>
      </c>
      <c r="D17" s="22">
        <v>40847</v>
      </c>
      <c r="E17" s="10">
        <v>200</v>
      </c>
      <c r="F17" s="14">
        <f>E17/$D$3*100</f>
        <v>3.4381983840467596</v>
      </c>
      <c r="G17" s="51" t="s">
        <v>33</v>
      </c>
      <c r="I17" s="35"/>
      <c r="J17" s="37"/>
    </row>
    <row r="18" spans="1:13" x14ac:dyDescent="0.2">
      <c r="A18" s="1" t="str">
        <f t="shared" si="1"/>
        <v>Simok</v>
      </c>
      <c r="B18" s="53" t="s">
        <v>50</v>
      </c>
      <c r="C18" s="47" t="s">
        <v>27</v>
      </c>
      <c r="D18" s="22">
        <v>40847</v>
      </c>
      <c r="E18" s="10">
        <v>100</v>
      </c>
      <c r="F18" s="14">
        <f>E18/$D$3*100</f>
        <v>1.7190991920233798</v>
      </c>
      <c r="G18" s="51" t="s">
        <v>33</v>
      </c>
      <c r="I18" s="36" t="s">
        <v>45</v>
      </c>
      <c r="J18" s="38">
        <f>SUM(J14:J17)</f>
        <v>0</v>
      </c>
    </row>
    <row r="19" spans="1:13" x14ac:dyDescent="0.2">
      <c r="A19" s="1" t="str">
        <f t="shared" si="1"/>
        <v>Simok</v>
      </c>
      <c r="B19" s="53" t="s">
        <v>50</v>
      </c>
      <c r="C19" s="47" t="s">
        <v>39</v>
      </c>
      <c r="D19" s="22">
        <v>40847</v>
      </c>
      <c r="E19" s="10">
        <v>0</v>
      </c>
      <c r="F19" s="14">
        <f>E19/$D$3*100</f>
        <v>0</v>
      </c>
      <c r="G19" s="51" t="s">
        <v>33</v>
      </c>
    </row>
    <row r="20" spans="1:13" x14ac:dyDescent="0.2">
      <c r="A20" s="1" t="str">
        <f t="shared" si="1"/>
        <v/>
      </c>
      <c r="B20" s="53"/>
      <c r="C20" s="67" t="s">
        <v>57</v>
      </c>
      <c r="D20" s="54"/>
      <c r="E20" s="10">
        <f>SUM(E16:E19)</f>
        <v>300</v>
      </c>
      <c r="F20" s="14">
        <f t="shared" ref="F20" si="5">E20/$D$3*100</f>
        <v>5.1572975760701389</v>
      </c>
      <c r="G20" s="51"/>
    </row>
    <row r="21" spans="1:13" x14ac:dyDescent="0.2">
      <c r="A21" s="1" t="str">
        <f t="shared" si="1"/>
        <v/>
      </c>
      <c r="B21" s="53"/>
      <c r="C21" s="46" t="s">
        <v>40</v>
      </c>
      <c r="D21" s="33"/>
      <c r="E21" s="31"/>
      <c r="F21" s="32"/>
      <c r="I21" s="123" t="s">
        <v>46</v>
      </c>
      <c r="J21" s="124"/>
    </row>
    <row r="22" spans="1:13" x14ac:dyDescent="0.2">
      <c r="A22" s="1" t="str">
        <f t="shared" si="1"/>
        <v>ok</v>
      </c>
      <c r="C22" s="47" t="s">
        <v>77</v>
      </c>
      <c r="D22" s="22">
        <v>40847</v>
      </c>
      <c r="E22" s="10">
        <v>0</v>
      </c>
      <c r="F22" s="14">
        <f>E22/$D$3*100</f>
        <v>0</v>
      </c>
      <c r="G22" s="51" t="s">
        <v>33</v>
      </c>
      <c r="I22" s="35" t="s">
        <v>3</v>
      </c>
      <c r="J22" s="49" t="s">
        <v>51</v>
      </c>
      <c r="K22" s="4"/>
      <c r="M22" s="50"/>
    </row>
    <row r="23" spans="1:13" x14ac:dyDescent="0.2">
      <c r="A23" s="1" t="str">
        <f t="shared" si="1"/>
        <v>ok</v>
      </c>
      <c r="C23" s="47" t="s">
        <v>78</v>
      </c>
      <c r="D23" s="22">
        <v>40847</v>
      </c>
      <c r="E23" s="10">
        <v>2341.4499999999998</v>
      </c>
      <c r="F23" s="14">
        <f>E23/$D$3*100</f>
        <v>40.251848031631418</v>
      </c>
      <c r="G23" s="51" t="s">
        <v>33</v>
      </c>
      <c r="I23" s="48">
        <v>40724</v>
      </c>
      <c r="J23" s="66">
        <v>1654.58</v>
      </c>
      <c r="K23" s="4"/>
      <c r="L23" s="50"/>
      <c r="M23" s="50"/>
    </row>
    <row r="24" spans="1:13" x14ac:dyDescent="0.2">
      <c r="C24" s="47" t="s">
        <v>97</v>
      </c>
      <c r="D24" s="22">
        <v>40844</v>
      </c>
      <c r="E24" s="10">
        <v>30</v>
      </c>
      <c r="F24" s="14">
        <f>E24/$D$3*100</f>
        <v>0.51572975760701389</v>
      </c>
      <c r="G24" s="51" t="s">
        <v>33</v>
      </c>
      <c r="I24" s="48"/>
      <c r="J24" s="66"/>
      <c r="K24" s="4"/>
      <c r="L24" s="50"/>
      <c r="M24" s="50"/>
    </row>
    <row r="25" spans="1:13" x14ac:dyDescent="0.2">
      <c r="C25" s="47" t="s">
        <v>84</v>
      </c>
      <c r="D25" s="22">
        <v>40847</v>
      </c>
      <c r="E25" s="10">
        <v>110</v>
      </c>
      <c r="F25" s="14">
        <f t="shared" ref="F25:F32" si="6">E25/$D$3*100</f>
        <v>1.8910091112257177</v>
      </c>
      <c r="G25" s="51" t="s">
        <v>33</v>
      </c>
      <c r="I25" s="68"/>
      <c r="J25" s="69"/>
      <c r="K25" s="4"/>
      <c r="L25" s="50"/>
      <c r="M25" s="50"/>
    </row>
    <row r="26" spans="1:13" x14ac:dyDescent="0.2">
      <c r="C26" s="47" t="s">
        <v>94</v>
      </c>
      <c r="D26" s="22">
        <v>40847</v>
      </c>
      <c r="E26" s="10">
        <v>150</v>
      </c>
      <c r="F26" s="14">
        <f t="shared" si="6"/>
        <v>2.5786487880350695</v>
      </c>
      <c r="G26" s="51" t="s">
        <v>33</v>
      </c>
      <c r="I26" s="78"/>
      <c r="J26" s="79"/>
      <c r="K26" s="4"/>
      <c r="L26" s="50"/>
      <c r="M26" s="50"/>
    </row>
    <row r="27" spans="1:13" x14ac:dyDescent="0.2">
      <c r="C27" s="47" t="s">
        <v>91</v>
      </c>
      <c r="D27" s="22">
        <v>40835</v>
      </c>
      <c r="E27" s="10">
        <f>30+30</f>
        <v>60</v>
      </c>
      <c r="F27" s="14">
        <f t="shared" si="6"/>
        <v>1.0314595152140278</v>
      </c>
      <c r="G27" s="51" t="s">
        <v>33</v>
      </c>
      <c r="I27" s="78"/>
      <c r="J27" s="79"/>
      <c r="K27" s="4"/>
      <c r="L27" s="50"/>
      <c r="M27" s="50"/>
    </row>
    <row r="28" spans="1:13" x14ac:dyDescent="0.2">
      <c r="C28" s="47" t="s">
        <v>92</v>
      </c>
      <c r="D28" s="22">
        <v>40841</v>
      </c>
      <c r="E28" s="10">
        <f>(3.1*6)+(2.9*11)</f>
        <v>50.5</v>
      </c>
      <c r="F28" s="14">
        <f t="shared" si="6"/>
        <v>0.86814509197180678</v>
      </c>
      <c r="G28" s="51" t="s">
        <v>33</v>
      </c>
      <c r="I28" s="53" t="s">
        <v>60</v>
      </c>
      <c r="J28" s="57">
        <v>4500</v>
      </c>
      <c r="K28" s="4"/>
      <c r="L28" s="50"/>
      <c r="M28" s="50"/>
    </row>
    <row r="29" spans="1:13" x14ac:dyDescent="0.2">
      <c r="C29" s="47" t="s">
        <v>96</v>
      </c>
      <c r="D29" s="22">
        <v>40842</v>
      </c>
      <c r="E29" s="10">
        <v>26.7</v>
      </c>
      <c r="F29" s="14">
        <f t="shared" si="6"/>
        <v>0.45899948427024234</v>
      </c>
      <c r="G29" s="51" t="s">
        <v>33</v>
      </c>
      <c r="I29" s="53"/>
      <c r="J29" s="57"/>
      <c r="K29" s="4"/>
      <c r="L29" s="50"/>
      <c r="M29" s="50"/>
    </row>
    <row r="30" spans="1:13" x14ac:dyDescent="0.2">
      <c r="C30" s="47" t="s">
        <v>93</v>
      </c>
      <c r="D30" s="22">
        <v>40841</v>
      </c>
      <c r="E30" s="10">
        <v>93.62</v>
      </c>
      <c r="F30" s="14">
        <f t="shared" si="6"/>
        <v>1.6094206635722881</v>
      </c>
      <c r="G30" s="51" t="s">
        <v>33</v>
      </c>
      <c r="I30" s="78"/>
      <c r="J30" s="79"/>
      <c r="K30" s="4"/>
      <c r="L30" s="50"/>
      <c r="M30" s="50"/>
    </row>
    <row r="31" spans="1:13" x14ac:dyDescent="0.2">
      <c r="C31" s="47" t="s">
        <v>95</v>
      </c>
      <c r="D31" s="22">
        <v>40846</v>
      </c>
      <c r="E31" s="10">
        <v>69.900000000000006</v>
      </c>
      <c r="F31" s="14">
        <f t="shared" si="6"/>
        <v>1.2016503352243424</v>
      </c>
      <c r="G31" s="51" t="s">
        <v>33</v>
      </c>
      <c r="I31" s="78"/>
      <c r="J31" s="79"/>
      <c r="K31" s="4"/>
      <c r="L31" s="50"/>
      <c r="M31" s="50"/>
    </row>
    <row r="32" spans="1:13" x14ac:dyDescent="0.2">
      <c r="C32" s="47" t="s">
        <v>90</v>
      </c>
      <c r="D32" s="22">
        <v>40837</v>
      </c>
      <c r="E32" s="10">
        <v>380</v>
      </c>
      <c r="F32" s="14">
        <f t="shared" si="6"/>
        <v>6.5325769296888438</v>
      </c>
      <c r="G32" s="51" t="s">
        <v>33</v>
      </c>
      <c r="I32" s="78"/>
      <c r="J32" s="79"/>
      <c r="K32" s="4"/>
      <c r="L32" s="50"/>
      <c r="M32" s="50"/>
    </row>
    <row r="33" spans="1:12" x14ac:dyDescent="0.2">
      <c r="A33" s="1" t="str">
        <f t="shared" si="1"/>
        <v>ok</v>
      </c>
      <c r="B33" s="41"/>
      <c r="C33" s="47" t="s">
        <v>11</v>
      </c>
      <c r="D33" s="22">
        <v>40847</v>
      </c>
      <c r="E33" s="10">
        <v>0</v>
      </c>
      <c r="F33" s="14">
        <f t="shared" si="2"/>
        <v>0</v>
      </c>
      <c r="G33" s="51" t="s">
        <v>33</v>
      </c>
      <c r="L33" s="50"/>
    </row>
    <row r="34" spans="1:12" x14ac:dyDescent="0.2">
      <c r="A34" s="1" t="str">
        <f t="shared" si="1"/>
        <v/>
      </c>
      <c r="C34" s="67" t="s">
        <v>57</v>
      </c>
      <c r="D34" s="54"/>
      <c r="E34" s="10">
        <f>SUM(E22:E33)</f>
        <v>3312.1699999999996</v>
      </c>
      <c r="F34" s="14">
        <f t="shared" si="2"/>
        <v>56.939487708440772</v>
      </c>
      <c r="G34" s="39"/>
    </row>
    <row r="35" spans="1:12" x14ac:dyDescent="0.2">
      <c r="A35" s="1" t="str">
        <f t="shared" si="1"/>
        <v/>
      </c>
      <c r="C35" s="34"/>
      <c r="D35" s="33"/>
      <c r="E35" s="31"/>
      <c r="F35" s="32"/>
      <c r="J35" s="50"/>
    </row>
    <row r="36" spans="1:12" ht="13.5" thickBot="1" x14ac:dyDescent="0.25">
      <c r="A36" s="1" t="str">
        <f t="shared" si="1"/>
        <v/>
      </c>
      <c r="C36" s="125" t="s">
        <v>20</v>
      </c>
      <c r="D36" s="126"/>
      <c r="E36" s="18">
        <f>SUM(E7:E13,E16:E19,E22:E33)</f>
        <v>4970.4499999999989</v>
      </c>
      <c r="F36" s="56">
        <f t="shared" si="2"/>
        <v>85.446965789926054</v>
      </c>
    </row>
    <row r="37" spans="1:12" x14ac:dyDescent="0.2">
      <c r="A37" s="1" t="str">
        <f t="shared" si="1"/>
        <v/>
      </c>
    </row>
    <row r="38" spans="1:12" x14ac:dyDescent="0.2">
      <c r="A38" s="1" t="str">
        <f t="shared" si="1"/>
        <v/>
      </c>
    </row>
    <row r="40" spans="1:12" x14ac:dyDescent="0.2">
      <c r="C40" s="76" t="s">
        <v>86</v>
      </c>
      <c r="D40" s="77"/>
      <c r="E40" s="72">
        <v>2.593</v>
      </c>
      <c r="I40" s="1" t="s">
        <v>98</v>
      </c>
      <c r="K40" s="1">
        <v>1.69</v>
      </c>
    </row>
    <row r="42" spans="1:12" x14ac:dyDescent="0.2">
      <c r="D42" s="74" t="s">
        <v>88</v>
      </c>
      <c r="E42" s="74" t="s">
        <v>4</v>
      </c>
      <c r="J42" s="82" t="s">
        <v>102</v>
      </c>
      <c r="K42" s="82" t="s">
        <v>51</v>
      </c>
    </row>
    <row r="43" spans="1:12" x14ac:dyDescent="0.2">
      <c r="C43" s="47" t="s">
        <v>89</v>
      </c>
      <c r="D43" s="75">
        <v>4915</v>
      </c>
      <c r="E43" s="73">
        <f>D43*-$E$40</f>
        <v>-12744.594999999999</v>
      </c>
      <c r="I43" s="1" t="s">
        <v>99</v>
      </c>
      <c r="J43" s="80">
        <v>3425</v>
      </c>
      <c r="K43" s="4">
        <f>J43*$K$40</f>
        <v>5788.25</v>
      </c>
    </row>
    <row r="44" spans="1:12" x14ac:dyDescent="0.2">
      <c r="C44" s="47" t="s">
        <v>87</v>
      </c>
      <c r="D44" s="75">
        <v>3335</v>
      </c>
      <c r="E44" s="16">
        <f>D44*$E$40</f>
        <v>8647.6550000000007</v>
      </c>
      <c r="I44" s="1" t="s">
        <v>100</v>
      </c>
      <c r="J44" s="80">
        <f>J43*0.3</f>
        <v>1027.5</v>
      </c>
      <c r="K44" s="4">
        <f>J44*$K$40</f>
        <v>1736.4749999999999</v>
      </c>
    </row>
    <row r="45" spans="1:12" x14ac:dyDescent="0.2">
      <c r="C45" s="53"/>
      <c r="D45" s="3"/>
      <c r="E45" s="4"/>
      <c r="I45" s="53" t="s">
        <v>101</v>
      </c>
      <c r="J45" s="80">
        <f>J43-J44</f>
        <v>2397.5</v>
      </c>
      <c r="K45" s="4">
        <f>J45*$K$40</f>
        <v>4051.7750000000001</v>
      </c>
    </row>
    <row r="46" spans="1:12" x14ac:dyDescent="0.2">
      <c r="C46" s="47" t="s">
        <v>45</v>
      </c>
      <c r="D46" s="75">
        <f>D44+D43</f>
        <v>8250</v>
      </c>
      <c r="E46" s="73">
        <f>E44+E43</f>
        <v>-4096.9399999999987</v>
      </c>
    </row>
    <row r="47" spans="1:12" x14ac:dyDescent="0.2">
      <c r="C47" s="53"/>
      <c r="E47" s="4"/>
      <c r="I47" s="53" t="s">
        <v>61</v>
      </c>
      <c r="J47" s="53" t="s">
        <v>103</v>
      </c>
      <c r="K47" s="81">
        <v>2600</v>
      </c>
    </row>
    <row r="48" spans="1:12" x14ac:dyDescent="0.2">
      <c r="C48" s="53"/>
      <c r="E48" s="4"/>
      <c r="I48" s="53" t="s">
        <v>104</v>
      </c>
      <c r="J48" s="80">
        <v>200</v>
      </c>
      <c r="K48" s="4">
        <f>J48*$K$40</f>
        <v>338</v>
      </c>
    </row>
    <row r="49" spans="3:11" x14ac:dyDescent="0.2">
      <c r="C49" s="53"/>
      <c r="E49" s="4"/>
    </row>
    <row r="50" spans="3:11" x14ac:dyDescent="0.2">
      <c r="I50" s="53" t="s">
        <v>105</v>
      </c>
      <c r="J50" s="80">
        <v>300</v>
      </c>
      <c r="K50" s="4">
        <f>J50*$K$40</f>
        <v>507</v>
      </c>
    </row>
    <row r="51" spans="3:11" x14ac:dyDescent="0.2">
      <c r="C51" s="53"/>
      <c r="E51" s="4"/>
    </row>
    <row r="53" spans="3:11" x14ac:dyDescent="0.2">
      <c r="C53" s="53"/>
      <c r="E53" s="4"/>
      <c r="I53" s="53" t="s">
        <v>106</v>
      </c>
      <c r="J53" s="80">
        <f>SUM(J43:J50)</f>
        <v>7350</v>
      </c>
      <c r="K53" s="4">
        <f>SUM(K43:K50)</f>
        <v>15021.5</v>
      </c>
    </row>
  </sheetData>
  <mergeCells count="4">
    <mergeCell ref="C36:D36"/>
    <mergeCell ref="I5:J5"/>
    <mergeCell ref="I21:J21"/>
    <mergeCell ref="I13:J13"/>
  </mergeCells>
  <conditionalFormatting sqref="G22:G34 G7:G20">
    <cfRule type="cellIs" dxfId="49" priority="11" stopIfTrue="1" operator="equal">
      <formula>"ok"</formula>
    </cfRule>
  </conditionalFormatting>
  <conditionalFormatting sqref="F15 F7:F13 F17:F35">
    <cfRule type="cellIs" dxfId="48" priority="10" stopIfTrue="1" operator="greaterThan">
      <formula>15</formula>
    </cfRule>
  </conditionalFormatting>
  <conditionalFormatting sqref="J3 L3">
    <cfRule type="cellIs" dxfId="47" priority="9" stopIfTrue="1" operator="lessThan">
      <formula>0</formula>
    </cfRule>
  </conditionalFormatting>
  <conditionalFormatting sqref="F16">
    <cfRule type="cellIs" dxfId="46" priority="6" stopIfTrue="1" operator="lessThan">
      <formula>15</formula>
    </cfRule>
    <cfRule type="cellIs" dxfId="45" priority="7" stopIfTrue="1" operator="between">
      <formula>15</formula>
      <formula>19</formula>
    </cfRule>
    <cfRule type="cellIs" dxfId="44" priority="8" stopIfTrue="1" operator="greaterThanOrEqual">
      <formula>20</formula>
    </cfRule>
  </conditionalFormatting>
  <conditionalFormatting sqref="E8:E13 E22:E34">
    <cfRule type="cellIs" dxfId="43" priority="5" stopIfTrue="1" operator="greaterThan">
      <formula>700</formula>
    </cfRule>
  </conditionalFormatting>
  <conditionalFormatting sqref="E34 E14">
    <cfRule type="cellIs" dxfId="42" priority="4" operator="greaterThan">
      <formula>1100</formula>
    </cfRule>
  </conditionalFormatting>
  <conditionalFormatting sqref="E20">
    <cfRule type="cellIs" dxfId="41" priority="3" operator="lessThan">
      <formula>250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N45"/>
  <sheetViews>
    <sheetView topLeftCell="C1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4" width="11" style="1" bestFit="1" customWidth="1"/>
    <col min="5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12" style="1" bestFit="1" customWidth="1"/>
    <col min="12" max="12" width="8.28515625" style="1" customWidth="1"/>
    <col min="13" max="13" width="9.28515625" style="1" bestFit="1" customWidth="1"/>
    <col min="14" max="16384" width="9.140625" style="1"/>
  </cols>
  <sheetData>
    <row r="1" spans="1:14" x14ac:dyDescent="0.2">
      <c r="C1" s="3"/>
    </row>
    <row r="2" spans="1:14" x14ac:dyDescent="0.2">
      <c r="C2" s="23" t="s">
        <v>29</v>
      </c>
      <c r="D2" s="24" t="s">
        <v>28</v>
      </c>
      <c r="E2" s="2"/>
      <c r="F2" s="3"/>
      <c r="H2" s="25" t="s">
        <v>56</v>
      </c>
      <c r="J2" s="26" t="s">
        <v>79</v>
      </c>
      <c r="L2" s="8" t="s">
        <v>0</v>
      </c>
    </row>
    <row r="3" spans="1:14" x14ac:dyDescent="0.2">
      <c r="C3" s="16">
        <v>6000</v>
      </c>
      <c r="D3" s="16">
        <v>4346.09</v>
      </c>
      <c r="E3" s="2"/>
      <c r="F3" s="5"/>
      <c r="G3" s="4"/>
      <c r="H3" s="16">
        <f>D3-SUMIF(D7:D27,40847,E7:E27)</f>
        <v>4346.09</v>
      </c>
      <c r="I3" s="4"/>
      <c r="J3" s="19">
        <f>D3-E28</f>
        <v>238.78000000000065</v>
      </c>
      <c r="K3" s="20"/>
      <c r="L3" s="21">
        <f>J3/C3*100</f>
        <v>3.9796666666666778</v>
      </c>
      <c r="M3" s="4"/>
    </row>
    <row r="4" spans="1:14" ht="13.5" thickBot="1" x14ac:dyDescent="0.25">
      <c r="E4" s="2"/>
      <c r="F4" s="3"/>
      <c r="H4" s="40"/>
    </row>
    <row r="5" spans="1:14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4" x14ac:dyDescent="0.2">
      <c r="A6" s="1" t="str">
        <f t="shared" ref="A6" si="0">CONCATENATE(B6,G6)</f>
        <v/>
      </c>
      <c r="C6" s="46" t="s">
        <v>38</v>
      </c>
      <c r="D6" s="27"/>
      <c r="E6" s="28"/>
      <c r="F6" s="29"/>
      <c r="I6" s="35" t="s">
        <v>38</v>
      </c>
      <c r="J6" s="37">
        <f>SUMIF(G7:G13,"",E7:E13)</f>
        <v>49.85</v>
      </c>
    </row>
    <row r="7" spans="1:14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40877</v>
      </c>
      <c r="E7" s="10">
        <f>C3*10%</f>
        <v>600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SUMIF(G16:G19,"",E16:E19)</f>
        <v>0</v>
      </c>
      <c r="L7" s="50"/>
    </row>
    <row r="8" spans="1:14" x14ac:dyDescent="0.2">
      <c r="A8" s="1" t="str">
        <f t="shared" ref="A8:A30" si="1">CONCATENATE(B8,G8)</f>
        <v>ok</v>
      </c>
      <c r="C8" s="47" t="s">
        <v>31</v>
      </c>
      <c r="D8" s="22">
        <v>40877</v>
      </c>
      <c r="E8" s="10">
        <v>277</v>
      </c>
      <c r="F8" s="14">
        <f t="shared" ref="F8:F28" si="2">E8/$D$3*100</f>
        <v>6.3735449565011297</v>
      </c>
      <c r="G8" s="2" t="s">
        <v>33</v>
      </c>
      <c r="I8" s="35" t="s">
        <v>44</v>
      </c>
      <c r="J8" s="37">
        <f>SUMIF(G22:G25,"",E22:E25)</f>
        <v>0</v>
      </c>
      <c r="L8" s="50"/>
    </row>
    <row r="9" spans="1:14" x14ac:dyDescent="0.2">
      <c r="A9" s="1" t="str">
        <f t="shared" si="1"/>
        <v>Simok</v>
      </c>
      <c r="B9" s="53" t="s">
        <v>50</v>
      </c>
      <c r="C9" s="47" t="s">
        <v>8</v>
      </c>
      <c r="D9" s="22">
        <v>40877</v>
      </c>
      <c r="E9" s="10">
        <v>100</v>
      </c>
      <c r="F9" s="14">
        <f t="shared" si="2"/>
        <v>2.3009187568596139</v>
      </c>
      <c r="G9" s="51" t="s">
        <v>33</v>
      </c>
      <c r="I9" s="35"/>
      <c r="J9" s="37"/>
      <c r="N9" s="40"/>
    </row>
    <row r="10" spans="1:14" x14ac:dyDescent="0.2">
      <c r="A10" s="1" t="str">
        <f t="shared" si="1"/>
        <v>ok</v>
      </c>
      <c r="B10" s="41"/>
      <c r="C10" s="47" t="s">
        <v>9</v>
      </c>
      <c r="D10" s="22">
        <v>40877</v>
      </c>
      <c r="E10" s="10">
        <v>49.28</v>
      </c>
      <c r="F10" s="14">
        <f t="shared" si="2"/>
        <v>1.1338927633804179</v>
      </c>
      <c r="G10" s="51" t="s">
        <v>33</v>
      </c>
      <c r="H10" s="40"/>
      <c r="I10" s="36" t="s">
        <v>45</v>
      </c>
      <c r="J10" s="38">
        <f>SUM(J6:J8)</f>
        <v>49.85</v>
      </c>
    </row>
    <row r="11" spans="1:14" x14ac:dyDescent="0.2">
      <c r="A11" s="1" t="str">
        <f t="shared" si="1"/>
        <v>ok</v>
      </c>
      <c r="B11" s="41"/>
      <c r="C11" s="47" t="s">
        <v>85</v>
      </c>
      <c r="D11" s="22">
        <v>40877</v>
      </c>
      <c r="E11" s="10">
        <v>118.68</v>
      </c>
      <c r="F11" s="14">
        <f t="shared" si="2"/>
        <v>2.7307303806409897</v>
      </c>
      <c r="G11" s="51" t="s">
        <v>33</v>
      </c>
    </row>
    <row r="12" spans="1:14" x14ac:dyDescent="0.2">
      <c r="A12" s="1" t="str">
        <f t="shared" si="1"/>
        <v>ok</v>
      </c>
      <c r="B12" s="41"/>
      <c r="C12" s="47" t="s">
        <v>36</v>
      </c>
      <c r="D12" s="22">
        <v>40877</v>
      </c>
      <c r="E12" s="10">
        <v>35</v>
      </c>
      <c r="F12" s="14">
        <f t="shared" si="2"/>
        <v>0.80532156490086493</v>
      </c>
      <c r="G12" s="51" t="s">
        <v>33</v>
      </c>
    </row>
    <row r="13" spans="1:14" x14ac:dyDescent="0.2">
      <c r="A13" s="1" t="str">
        <f t="shared" si="1"/>
        <v/>
      </c>
      <c r="C13" s="47" t="s">
        <v>53</v>
      </c>
      <c r="D13" s="22">
        <v>40877</v>
      </c>
      <c r="E13" s="10">
        <v>49.85</v>
      </c>
      <c r="F13" s="14">
        <f t="shared" si="2"/>
        <v>1.1470080002945175</v>
      </c>
      <c r="G13" s="51"/>
      <c r="I13" s="123" t="s">
        <v>35</v>
      </c>
      <c r="J13" s="124"/>
    </row>
    <row r="14" spans="1:14" x14ac:dyDescent="0.2">
      <c r="A14" s="1" t="str">
        <f t="shared" si="1"/>
        <v/>
      </c>
      <c r="C14" s="67" t="s">
        <v>57</v>
      </c>
      <c r="D14" s="54"/>
      <c r="E14" s="10">
        <f>SUM(E7:E13)</f>
        <v>1229.81</v>
      </c>
      <c r="F14" s="14">
        <f t="shared" si="2"/>
        <v>28.296928963735219</v>
      </c>
      <c r="G14" s="51"/>
      <c r="I14" s="35" t="s">
        <v>38</v>
      </c>
      <c r="J14" s="37">
        <f>SUMIF(A7:A15,"sim",E7:E15)</f>
        <v>0</v>
      </c>
    </row>
    <row r="15" spans="1:14" x14ac:dyDescent="0.2">
      <c r="A15" s="1" t="str">
        <f t="shared" si="1"/>
        <v/>
      </c>
      <c r="C15" s="46" t="s">
        <v>41</v>
      </c>
      <c r="D15" s="30"/>
      <c r="E15" s="31"/>
      <c r="F15" s="32"/>
      <c r="G15" s="51"/>
      <c r="I15" s="35" t="s">
        <v>41</v>
      </c>
      <c r="J15" s="37">
        <f>SUMIF(A16:A19,"sim",E16:E21)</f>
        <v>0</v>
      </c>
      <c r="L15" s="4"/>
    </row>
    <row r="16" spans="1:14" x14ac:dyDescent="0.2">
      <c r="A16" s="1" t="str">
        <f t="shared" si="1"/>
        <v>ok</v>
      </c>
      <c r="B16" s="41"/>
      <c r="C16" s="47" t="s">
        <v>42</v>
      </c>
      <c r="D16" s="22">
        <v>40877</v>
      </c>
      <c r="E16" s="10">
        <v>2000</v>
      </c>
      <c r="F16" s="14">
        <f>E16/$D$3*100</f>
        <v>46.01837513719228</v>
      </c>
      <c r="G16" s="51" t="s">
        <v>33</v>
      </c>
      <c r="I16" s="35" t="s">
        <v>44</v>
      </c>
      <c r="J16" s="37">
        <f>SUMIF(A22:A26,"sim",E22:E27)</f>
        <v>0</v>
      </c>
    </row>
    <row r="17" spans="1:13" x14ac:dyDescent="0.2">
      <c r="A17" s="1" t="str">
        <f t="shared" si="1"/>
        <v>Simok</v>
      </c>
      <c r="B17" s="53" t="s">
        <v>50</v>
      </c>
      <c r="C17" s="47" t="s">
        <v>26</v>
      </c>
      <c r="D17" s="22">
        <v>40877</v>
      </c>
      <c r="E17" s="10">
        <v>100</v>
      </c>
      <c r="F17" s="14">
        <f>E17/$D$3*100</f>
        <v>2.3009187568596139</v>
      </c>
      <c r="G17" s="51" t="s">
        <v>33</v>
      </c>
      <c r="I17" s="35"/>
      <c r="J17" s="37"/>
    </row>
    <row r="18" spans="1:13" x14ac:dyDescent="0.2">
      <c r="A18" s="1" t="str">
        <f t="shared" si="1"/>
        <v>Simok</v>
      </c>
      <c r="B18" s="53" t="s">
        <v>50</v>
      </c>
      <c r="C18" s="47" t="s">
        <v>27</v>
      </c>
      <c r="D18" s="22">
        <v>40877</v>
      </c>
      <c r="E18" s="10">
        <v>100</v>
      </c>
      <c r="F18" s="14">
        <f>E18/$D$3*100</f>
        <v>2.3009187568596139</v>
      </c>
      <c r="G18" s="51" t="s">
        <v>33</v>
      </c>
      <c r="I18" s="36" t="s">
        <v>45</v>
      </c>
      <c r="J18" s="38">
        <f>SUM(J14:J17)</f>
        <v>0</v>
      </c>
    </row>
    <row r="19" spans="1:13" x14ac:dyDescent="0.2">
      <c r="A19" s="1" t="str">
        <f t="shared" si="1"/>
        <v>Simok</v>
      </c>
      <c r="B19" s="53" t="s">
        <v>50</v>
      </c>
      <c r="C19" s="47" t="s">
        <v>39</v>
      </c>
      <c r="D19" s="22">
        <v>40877</v>
      </c>
      <c r="E19" s="10">
        <v>0</v>
      </c>
      <c r="F19" s="14">
        <f>E19/$D$3*100</f>
        <v>0</v>
      </c>
      <c r="G19" s="51" t="s">
        <v>33</v>
      </c>
    </row>
    <row r="20" spans="1:13" x14ac:dyDescent="0.2">
      <c r="A20" s="1" t="str">
        <f t="shared" si="1"/>
        <v/>
      </c>
      <c r="B20" s="53"/>
      <c r="C20" s="67" t="s">
        <v>57</v>
      </c>
      <c r="D20" s="54"/>
      <c r="E20" s="10">
        <f>SUM(E16:E19)</f>
        <v>2200</v>
      </c>
      <c r="F20" s="14">
        <f t="shared" ref="F20" si="3">E20/$D$3*100</f>
        <v>50.620212650911512</v>
      </c>
      <c r="G20" s="51"/>
    </row>
    <row r="21" spans="1:13" x14ac:dyDescent="0.2">
      <c r="A21" s="1" t="str">
        <f t="shared" si="1"/>
        <v/>
      </c>
      <c r="B21" s="53"/>
      <c r="C21" s="46" t="s">
        <v>40</v>
      </c>
      <c r="D21" s="33"/>
      <c r="E21" s="31"/>
      <c r="F21" s="32"/>
      <c r="I21" s="123" t="s">
        <v>46</v>
      </c>
      <c r="J21" s="124"/>
    </row>
    <row r="22" spans="1:13" x14ac:dyDescent="0.2">
      <c r="A22" s="1" t="str">
        <f t="shared" ref="A22" si="4">CONCATENATE(B22,G22)</f>
        <v>ok</v>
      </c>
      <c r="C22" s="47" t="s">
        <v>107</v>
      </c>
      <c r="D22" s="22">
        <v>40877</v>
      </c>
      <c r="E22" s="10">
        <v>253.77</v>
      </c>
      <c r="F22" s="14">
        <f>E22/$D$3*100</f>
        <v>5.8390415292826425</v>
      </c>
      <c r="G22" s="51" t="s">
        <v>33</v>
      </c>
      <c r="I22" s="35" t="s">
        <v>3</v>
      </c>
      <c r="J22" s="49" t="s">
        <v>51</v>
      </c>
      <c r="K22" s="4"/>
      <c r="M22" s="50"/>
    </row>
    <row r="23" spans="1:13" x14ac:dyDescent="0.2">
      <c r="A23" s="1" t="str">
        <f t="shared" si="1"/>
        <v>ok</v>
      </c>
      <c r="C23" s="47" t="s">
        <v>78</v>
      </c>
      <c r="D23" s="22">
        <v>40877</v>
      </c>
      <c r="E23" s="10">
        <v>348.73</v>
      </c>
      <c r="F23" s="14">
        <f>E23/$D$3*100</f>
        <v>8.023993980796531</v>
      </c>
      <c r="G23" s="51" t="s">
        <v>33</v>
      </c>
      <c r="I23" s="48">
        <v>40724</v>
      </c>
      <c r="J23" s="66">
        <v>1654.58</v>
      </c>
      <c r="K23" s="4"/>
      <c r="L23" s="50"/>
      <c r="M23" s="50"/>
    </row>
    <row r="24" spans="1:13" x14ac:dyDescent="0.2">
      <c r="C24" s="47" t="s">
        <v>96</v>
      </c>
      <c r="D24" s="22">
        <v>40877</v>
      </c>
      <c r="E24" s="10">
        <v>75</v>
      </c>
      <c r="F24" s="14">
        <f>E24/$D$3*100</f>
        <v>1.7256890676447103</v>
      </c>
      <c r="G24" s="51" t="s">
        <v>33</v>
      </c>
      <c r="I24" s="78"/>
      <c r="J24" s="79"/>
      <c r="K24" s="4"/>
      <c r="L24" s="50"/>
      <c r="M24" s="50"/>
    </row>
    <row r="25" spans="1:13" x14ac:dyDescent="0.2">
      <c r="A25" s="1" t="str">
        <f t="shared" si="1"/>
        <v/>
      </c>
      <c r="B25" s="41"/>
      <c r="C25" s="47" t="s">
        <v>11</v>
      </c>
      <c r="D25" s="22">
        <v>40877</v>
      </c>
      <c r="E25" s="10">
        <v>0</v>
      </c>
      <c r="F25" s="14">
        <f t="shared" si="2"/>
        <v>0</v>
      </c>
      <c r="G25" s="51"/>
      <c r="L25" s="50"/>
    </row>
    <row r="26" spans="1:13" x14ac:dyDescent="0.2">
      <c r="A26" s="1" t="str">
        <f t="shared" si="1"/>
        <v/>
      </c>
      <c r="C26" s="67" t="s">
        <v>57</v>
      </c>
      <c r="D26" s="54"/>
      <c r="E26" s="10">
        <f>SUM(E22:E25)</f>
        <v>677.5</v>
      </c>
      <c r="F26" s="14">
        <f t="shared" si="2"/>
        <v>15.588724577723884</v>
      </c>
      <c r="G26" s="39"/>
    </row>
    <row r="27" spans="1:13" x14ac:dyDescent="0.2">
      <c r="A27" s="1" t="str">
        <f t="shared" si="1"/>
        <v/>
      </c>
      <c r="C27" s="34"/>
      <c r="D27" s="33"/>
      <c r="E27" s="31"/>
      <c r="F27" s="32"/>
      <c r="J27" s="50"/>
    </row>
    <row r="28" spans="1:13" ht="13.5" thickBot="1" x14ac:dyDescent="0.25">
      <c r="A28" s="1" t="str">
        <f t="shared" si="1"/>
        <v/>
      </c>
      <c r="C28" s="125" t="s">
        <v>20</v>
      </c>
      <c r="D28" s="126"/>
      <c r="E28" s="18">
        <f>SUM(E7:E13,E16:E19,E22:E25)</f>
        <v>4107.3099999999995</v>
      </c>
      <c r="F28" s="56">
        <f t="shared" si="2"/>
        <v>94.505866192370604</v>
      </c>
    </row>
    <row r="29" spans="1:13" x14ac:dyDescent="0.2">
      <c r="A29" s="1" t="str">
        <f t="shared" si="1"/>
        <v/>
      </c>
    </row>
    <row r="30" spans="1:13" x14ac:dyDescent="0.2">
      <c r="A30" s="1" t="str">
        <f t="shared" si="1"/>
        <v/>
      </c>
    </row>
    <row r="32" spans="1:13" x14ac:dyDescent="0.2">
      <c r="C32" s="76" t="s">
        <v>86</v>
      </c>
      <c r="D32" s="77"/>
      <c r="E32" s="72">
        <v>2.593</v>
      </c>
    </row>
    <row r="34" spans="3:11" x14ac:dyDescent="0.2">
      <c r="D34" s="74" t="s">
        <v>88</v>
      </c>
      <c r="E34" s="74" t="s">
        <v>4</v>
      </c>
      <c r="J34" s="82"/>
      <c r="K34" s="82"/>
    </row>
    <row r="35" spans="3:11" x14ac:dyDescent="0.2">
      <c r="C35" s="47" t="s">
        <v>89</v>
      </c>
      <c r="D35" s="75">
        <v>4915</v>
      </c>
      <c r="E35" s="73">
        <f>D35*-$E$32</f>
        <v>-12744.594999999999</v>
      </c>
      <c r="J35" s="80"/>
      <c r="K35" s="4"/>
    </row>
    <row r="36" spans="3:11" x14ac:dyDescent="0.2">
      <c r="C36" s="47" t="s">
        <v>87</v>
      </c>
      <c r="D36" s="75">
        <v>3335</v>
      </c>
      <c r="E36" s="16">
        <f>D36*$E$32</f>
        <v>8647.6550000000007</v>
      </c>
      <c r="J36" s="80"/>
      <c r="K36" s="4"/>
    </row>
    <row r="37" spans="3:11" x14ac:dyDescent="0.2">
      <c r="C37" s="53"/>
      <c r="D37" s="3"/>
      <c r="E37" s="4"/>
      <c r="I37" s="53"/>
      <c r="J37" s="80"/>
      <c r="K37" s="4"/>
    </row>
    <row r="38" spans="3:11" x14ac:dyDescent="0.2">
      <c r="C38" s="47" t="s">
        <v>45</v>
      </c>
      <c r="D38" s="75">
        <f>D36+D35</f>
        <v>8250</v>
      </c>
      <c r="E38" s="73">
        <f>E36+E35</f>
        <v>-4096.9399999999987</v>
      </c>
    </row>
    <row r="39" spans="3:11" x14ac:dyDescent="0.2">
      <c r="C39" s="53"/>
      <c r="E39" s="4"/>
      <c r="I39" s="53"/>
      <c r="J39" s="53"/>
      <c r="K39" s="81"/>
    </row>
    <row r="40" spans="3:11" x14ac:dyDescent="0.2">
      <c r="C40" s="53"/>
      <c r="E40" s="4"/>
      <c r="I40" s="53"/>
      <c r="J40" s="80"/>
      <c r="K40" s="4"/>
    </row>
    <row r="41" spans="3:11" x14ac:dyDescent="0.2">
      <c r="C41" s="53"/>
      <c r="E41" s="4"/>
    </row>
    <row r="42" spans="3:11" x14ac:dyDescent="0.2">
      <c r="I42" s="53"/>
      <c r="J42" s="80"/>
      <c r="K42" s="4"/>
    </row>
    <row r="43" spans="3:11" x14ac:dyDescent="0.2">
      <c r="C43" s="53"/>
      <c r="E43" s="4"/>
    </row>
    <row r="45" spans="3:11" x14ac:dyDescent="0.2">
      <c r="C45" s="53"/>
      <c r="E45" s="4"/>
      <c r="I45" s="53"/>
      <c r="J45" s="80"/>
      <c r="K45" s="4"/>
    </row>
  </sheetData>
  <mergeCells count="4">
    <mergeCell ref="C28:D28"/>
    <mergeCell ref="I5:J5"/>
    <mergeCell ref="I21:J21"/>
    <mergeCell ref="I13:J13"/>
  </mergeCells>
  <conditionalFormatting sqref="G7:G20 G22:G26">
    <cfRule type="cellIs" dxfId="40" priority="26" stopIfTrue="1" operator="equal">
      <formula>"ok"</formula>
    </cfRule>
  </conditionalFormatting>
  <conditionalFormatting sqref="F15 F7:F13 F17:F27">
    <cfRule type="cellIs" dxfId="39" priority="25" stopIfTrue="1" operator="greaterThan">
      <formula>15</formula>
    </cfRule>
  </conditionalFormatting>
  <conditionalFormatting sqref="J3 L3">
    <cfRule type="cellIs" dxfId="38" priority="24" stopIfTrue="1" operator="lessThan">
      <formula>0</formula>
    </cfRule>
  </conditionalFormatting>
  <conditionalFormatting sqref="F16">
    <cfRule type="cellIs" dxfId="37" priority="21" stopIfTrue="1" operator="lessThan">
      <formula>15</formula>
    </cfRule>
    <cfRule type="cellIs" dxfId="36" priority="22" stopIfTrue="1" operator="between">
      <formula>15</formula>
      <formula>19</formula>
    </cfRule>
    <cfRule type="cellIs" dxfId="35" priority="23" stopIfTrue="1" operator="greaterThanOrEqual">
      <formula>20</formula>
    </cfRule>
  </conditionalFormatting>
  <conditionalFormatting sqref="E8:E13 E22:E26">
    <cfRule type="cellIs" dxfId="34" priority="20" stopIfTrue="1" operator="greaterThan">
      <formula>700</formula>
    </cfRule>
  </conditionalFormatting>
  <conditionalFormatting sqref="E14">
    <cfRule type="cellIs" dxfId="33" priority="19" operator="greaterThan">
      <formula>1100</formula>
    </cfRule>
  </conditionalFormatting>
  <conditionalFormatting sqref="E20">
    <cfRule type="cellIs" dxfId="32" priority="18" operator="lessThan">
      <formula>250</formula>
    </cfRule>
  </conditionalFormatting>
  <conditionalFormatting sqref="E26">
    <cfRule type="cellIs" dxfId="31" priority="5" operator="greaterThan">
      <formula>1100</formula>
    </cfRule>
  </conditionalFormatting>
  <conditionalFormatting sqref="E22:E24">
    <cfRule type="cellIs" dxfId="30" priority="3" stopIfTrue="1" operator="greaterThan">
      <formula>400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49"/>
  <sheetViews>
    <sheetView topLeftCell="C10" workbookViewId="0">
      <selection activeCell="D32" sqref="D32"/>
    </sheetView>
  </sheetViews>
  <sheetFormatPr defaultRowHeight="12.75" x14ac:dyDescent="0.2"/>
  <cols>
    <col min="1" max="2" width="9.140625" style="1" hidden="1" customWidth="1"/>
    <col min="3" max="3" width="15.42578125" style="1" bestFit="1" customWidth="1"/>
    <col min="4" max="5" width="11" style="1" bestFit="1" customWidth="1"/>
    <col min="6" max="6" width="13.28515625" style="1" bestFit="1" customWidth="1"/>
    <col min="7" max="7" width="9.140625" style="1"/>
    <col min="8" max="8" width="16.7109375" style="1" bestFit="1" customWidth="1"/>
    <col min="9" max="9" width="15.85546875" style="1" bestFit="1" customWidth="1"/>
    <col min="10" max="10" width="15" style="1" bestFit="1" customWidth="1"/>
    <col min="11" max="11" width="9.42578125" style="1" bestFit="1" customWidth="1"/>
    <col min="12" max="12" width="9.5703125" style="1" customWidth="1"/>
    <col min="13" max="13" width="9.28515625" style="1" bestFit="1" customWidth="1"/>
    <col min="14" max="16384" width="9.140625" style="1"/>
  </cols>
  <sheetData>
    <row r="1" spans="1:13" x14ac:dyDescent="0.2">
      <c r="C1" s="3"/>
    </row>
    <row r="2" spans="1:13" x14ac:dyDescent="0.2">
      <c r="C2" s="23" t="s">
        <v>29</v>
      </c>
      <c r="D2" s="24" t="s">
        <v>28</v>
      </c>
      <c r="E2" s="2"/>
      <c r="F2" s="3"/>
      <c r="H2" s="25" t="s">
        <v>108</v>
      </c>
      <c r="J2" s="26" t="s">
        <v>109</v>
      </c>
      <c r="L2" s="8" t="s">
        <v>0</v>
      </c>
    </row>
    <row r="3" spans="1:13" x14ac:dyDescent="0.2">
      <c r="C3" s="16">
        <v>6000</v>
      </c>
      <c r="D3" s="16">
        <v>3653</v>
      </c>
      <c r="E3" s="2"/>
      <c r="F3" s="5"/>
      <c r="G3" s="4"/>
      <c r="H3" s="16">
        <f>D3-SUMIF(D7:D33,40908,E7:E33)</f>
        <v>-8357.01</v>
      </c>
      <c r="I3" s="4"/>
      <c r="J3" s="19">
        <f>D3-E34</f>
        <v>749.73999999999978</v>
      </c>
      <c r="K3" s="20"/>
      <c r="L3" s="21">
        <f>J3/C3*100</f>
        <v>12.495666666666663</v>
      </c>
      <c r="M3" s="4"/>
    </row>
    <row r="4" spans="1:13" ht="13.5" thickBot="1" x14ac:dyDescent="0.25">
      <c r="E4" s="2"/>
      <c r="F4" s="3"/>
      <c r="H4" s="40"/>
    </row>
    <row r="5" spans="1:13" x14ac:dyDescent="0.2">
      <c r="A5" s="41" t="s">
        <v>52</v>
      </c>
      <c r="B5" s="41" t="s">
        <v>49</v>
      </c>
      <c r="C5" s="42" t="s">
        <v>2</v>
      </c>
      <c r="D5" s="43" t="s">
        <v>3</v>
      </c>
      <c r="E5" s="44" t="s">
        <v>4</v>
      </c>
      <c r="F5" s="45" t="s">
        <v>5</v>
      </c>
      <c r="H5" s="40"/>
      <c r="I5" s="123" t="s">
        <v>43</v>
      </c>
      <c r="J5" s="124"/>
    </row>
    <row r="6" spans="1:13" x14ac:dyDescent="0.2">
      <c r="A6" s="1" t="str">
        <f t="shared" ref="A6" si="0">CONCATENATE(B6,G6)</f>
        <v/>
      </c>
      <c r="C6" s="46" t="s">
        <v>38</v>
      </c>
      <c r="D6" s="27"/>
      <c r="E6" s="28"/>
      <c r="F6" s="29"/>
      <c r="H6" s="40"/>
      <c r="I6" s="35" t="s">
        <v>38</v>
      </c>
      <c r="J6" s="37">
        <f>SUMIF(G7:G14,"",E7:E14)</f>
        <v>347</v>
      </c>
    </row>
    <row r="7" spans="1:13" x14ac:dyDescent="0.2">
      <c r="A7" s="1" t="str">
        <f>CONCATENATE(B7,G7)</f>
        <v>Simokok</v>
      </c>
      <c r="B7" s="41" t="str">
        <f>CONCATENATE("Sim",G7)</f>
        <v>Simok</v>
      </c>
      <c r="C7" s="47" t="s">
        <v>23</v>
      </c>
      <c r="D7" s="22">
        <v>40908</v>
      </c>
      <c r="E7" s="10">
        <f>C3*10%</f>
        <v>600</v>
      </c>
      <c r="F7" s="14">
        <f>E7/$C$3*100</f>
        <v>10</v>
      </c>
      <c r="G7" s="51" t="s">
        <v>33</v>
      </c>
      <c r="H7" s="4"/>
      <c r="I7" s="35" t="s">
        <v>41</v>
      </c>
      <c r="J7" s="37">
        <f>SUMIF(G17:G20,"",E17:E20)</f>
        <v>0</v>
      </c>
      <c r="L7" s="50"/>
    </row>
    <row r="8" spans="1:13" x14ac:dyDescent="0.2">
      <c r="A8" s="1" t="str">
        <f t="shared" ref="A8:A37" si="1">CONCATENATE(B8,G8)</f>
        <v/>
      </c>
      <c r="C8" s="47" t="s">
        <v>31</v>
      </c>
      <c r="D8" s="22">
        <v>40908</v>
      </c>
      <c r="E8" s="10">
        <v>277</v>
      </c>
      <c r="F8" s="14">
        <f t="shared" ref="F8:F34" si="2">E8/$D$3*100</f>
        <v>7.5828086504243091</v>
      </c>
      <c r="G8" s="2"/>
      <c r="I8" s="35" t="s">
        <v>44</v>
      </c>
      <c r="J8" s="37">
        <f ca="1">SUMIF(G23:G26,"",E23:E25)</f>
        <v>1192.45</v>
      </c>
      <c r="L8" s="50"/>
    </row>
    <row r="9" spans="1:13" x14ac:dyDescent="0.2">
      <c r="A9" s="1" t="str">
        <f t="shared" si="1"/>
        <v>Simok</v>
      </c>
      <c r="B9" s="53" t="s">
        <v>50</v>
      </c>
      <c r="C9" s="47" t="s">
        <v>8</v>
      </c>
      <c r="D9" s="22">
        <v>40908</v>
      </c>
      <c r="E9" s="10">
        <v>100</v>
      </c>
      <c r="F9" s="14">
        <f t="shared" si="2"/>
        <v>2.7374760470845882</v>
      </c>
      <c r="G9" s="51" t="s">
        <v>33</v>
      </c>
      <c r="I9" s="35"/>
      <c r="J9" s="37"/>
    </row>
    <row r="10" spans="1:13" x14ac:dyDescent="0.2">
      <c r="A10" s="1" t="str">
        <f t="shared" si="1"/>
        <v>ok</v>
      </c>
      <c r="B10" s="41"/>
      <c r="C10" s="47" t="s">
        <v>9</v>
      </c>
      <c r="D10" s="22">
        <v>40908</v>
      </c>
      <c r="E10" s="10">
        <v>78.81</v>
      </c>
      <c r="F10" s="14">
        <f t="shared" si="2"/>
        <v>2.1574048727073638</v>
      </c>
      <c r="G10" s="51" t="s">
        <v>33</v>
      </c>
      <c r="H10" s="40"/>
      <c r="I10" s="36" t="s">
        <v>45</v>
      </c>
      <c r="J10" s="38">
        <f ca="1">SUM(J6:J8)</f>
        <v>1539.45</v>
      </c>
    </row>
    <row r="11" spans="1:13" x14ac:dyDescent="0.2">
      <c r="A11" s="1" t="str">
        <f t="shared" si="1"/>
        <v>Sim</v>
      </c>
      <c r="B11" s="53" t="s">
        <v>50</v>
      </c>
      <c r="C11" s="47" t="s">
        <v>34</v>
      </c>
      <c r="D11" s="22">
        <v>40908</v>
      </c>
      <c r="E11" s="10">
        <v>70</v>
      </c>
      <c r="F11" s="14">
        <f t="shared" si="2"/>
        <v>1.9162332329592116</v>
      </c>
      <c r="G11" s="51"/>
    </row>
    <row r="12" spans="1:13" x14ac:dyDescent="0.2">
      <c r="A12" s="1" t="str">
        <f t="shared" si="1"/>
        <v>ok</v>
      </c>
      <c r="B12" s="41"/>
      <c r="C12" s="47" t="s">
        <v>36</v>
      </c>
      <c r="D12" s="22">
        <v>40908</v>
      </c>
      <c r="E12" s="10">
        <v>35</v>
      </c>
      <c r="F12" s="14">
        <f t="shared" si="2"/>
        <v>0.95811661647960578</v>
      </c>
      <c r="G12" s="51" t="s">
        <v>33</v>
      </c>
    </row>
    <row r="13" spans="1:13" x14ac:dyDescent="0.2">
      <c r="A13" s="1" t="str">
        <f t="shared" si="1"/>
        <v>ok</v>
      </c>
      <c r="B13" s="41"/>
      <c r="C13" s="47" t="s">
        <v>85</v>
      </c>
      <c r="D13" s="22">
        <v>40908</v>
      </c>
      <c r="E13" s="10">
        <v>160</v>
      </c>
      <c r="F13" s="14">
        <f t="shared" si="2"/>
        <v>4.3799616753353403</v>
      </c>
      <c r="G13" s="51" t="s">
        <v>33</v>
      </c>
      <c r="I13" s="123" t="s">
        <v>35</v>
      </c>
      <c r="J13" s="124"/>
    </row>
    <row r="14" spans="1:13" x14ac:dyDescent="0.2">
      <c r="A14" s="1" t="str">
        <f t="shared" si="1"/>
        <v/>
      </c>
      <c r="C14" s="47" t="s">
        <v>53</v>
      </c>
      <c r="D14" s="22">
        <v>40908</v>
      </c>
      <c r="E14" s="10">
        <v>0</v>
      </c>
      <c r="F14" s="14">
        <f t="shared" si="2"/>
        <v>0</v>
      </c>
      <c r="G14" s="51"/>
      <c r="I14" s="35" t="s">
        <v>38</v>
      </c>
      <c r="J14" s="37">
        <f>SUMIF(A7:A16,"sim",E7:E16)</f>
        <v>70</v>
      </c>
    </row>
    <row r="15" spans="1:13" x14ac:dyDescent="0.2">
      <c r="A15" s="1" t="str">
        <f t="shared" si="1"/>
        <v/>
      </c>
      <c r="C15" s="67" t="s">
        <v>57</v>
      </c>
      <c r="D15" s="54"/>
      <c r="E15" s="10">
        <f>SUM(E7:E14)</f>
        <v>1320.81</v>
      </c>
      <c r="F15" s="14">
        <f t="shared" si="2"/>
        <v>36.15685737749795</v>
      </c>
      <c r="G15" s="51"/>
      <c r="I15" s="35" t="s">
        <v>41</v>
      </c>
      <c r="J15" s="37">
        <f>SUMIF(A17:A20,"sim",E17:E22)</f>
        <v>0</v>
      </c>
    </row>
    <row r="16" spans="1:13" x14ac:dyDescent="0.2">
      <c r="A16" s="1" t="str">
        <f t="shared" si="1"/>
        <v/>
      </c>
      <c r="C16" s="46" t="s">
        <v>41</v>
      </c>
      <c r="D16" s="30"/>
      <c r="E16" s="31"/>
      <c r="F16" s="32"/>
      <c r="G16" s="51"/>
      <c r="I16" s="35" t="s">
        <v>44</v>
      </c>
      <c r="J16" s="37">
        <f>SUMIF(A23:A33,"sim",E23:E33)</f>
        <v>0</v>
      </c>
      <c r="L16" s="4"/>
    </row>
    <row r="17" spans="1:14" x14ac:dyDescent="0.2">
      <c r="A17" s="1" t="str">
        <f t="shared" si="1"/>
        <v>ok</v>
      </c>
      <c r="B17" s="41"/>
      <c r="C17" s="47" t="s">
        <v>42</v>
      </c>
      <c r="D17" s="22">
        <v>40908</v>
      </c>
      <c r="E17" s="10">
        <v>0</v>
      </c>
      <c r="F17" s="14">
        <f>E17/$D$3*100</f>
        <v>0</v>
      </c>
      <c r="G17" s="51" t="s">
        <v>33</v>
      </c>
      <c r="I17" s="35"/>
      <c r="J17" s="37"/>
    </row>
    <row r="18" spans="1:14" x14ac:dyDescent="0.2">
      <c r="A18" s="1" t="str">
        <f t="shared" si="1"/>
        <v>Simok</v>
      </c>
      <c r="B18" s="53" t="s">
        <v>50</v>
      </c>
      <c r="C18" s="47" t="s">
        <v>26</v>
      </c>
      <c r="D18" s="22">
        <v>40908</v>
      </c>
      <c r="E18" s="10">
        <v>200</v>
      </c>
      <c r="F18" s="14">
        <f>E18/$D$3*100</f>
        <v>5.4749520941691765</v>
      </c>
      <c r="G18" s="51" t="s">
        <v>33</v>
      </c>
      <c r="I18" s="36" t="s">
        <v>45</v>
      </c>
      <c r="J18" s="38">
        <f>SUM(J14:J17)</f>
        <v>70</v>
      </c>
    </row>
    <row r="19" spans="1:14" x14ac:dyDescent="0.2">
      <c r="A19" s="1" t="str">
        <f t="shared" si="1"/>
        <v>Simok</v>
      </c>
      <c r="B19" s="53" t="s">
        <v>50</v>
      </c>
      <c r="C19" s="47" t="s">
        <v>27</v>
      </c>
      <c r="D19" s="22">
        <v>40908</v>
      </c>
      <c r="E19" s="10">
        <v>100</v>
      </c>
      <c r="F19" s="14">
        <f>E19/$D$3*100</f>
        <v>2.7374760470845882</v>
      </c>
      <c r="G19" s="51" t="s">
        <v>33</v>
      </c>
    </row>
    <row r="20" spans="1:14" x14ac:dyDescent="0.2">
      <c r="A20" s="1" t="str">
        <f t="shared" si="1"/>
        <v>Simok</v>
      </c>
      <c r="B20" s="53" t="s">
        <v>50</v>
      </c>
      <c r="C20" s="47" t="s">
        <v>39</v>
      </c>
      <c r="D20" s="22">
        <v>40908</v>
      </c>
      <c r="E20" s="10">
        <v>90</v>
      </c>
      <c r="F20" s="14">
        <f>E20/$D$3*100</f>
        <v>2.4637284423761292</v>
      </c>
      <c r="G20" s="51" t="s">
        <v>33</v>
      </c>
    </row>
    <row r="21" spans="1:14" x14ac:dyDescent="0.2">
      <c r="A21" s="1" t="str">
        <f t="shared" si="1"/>
        <v/>
      </c>
      <c r="B21" s="53"/>
      <c r="C21" s="67" t="s">
        <v>57</v>
      </c>
      <c r="D21" s="54"/>
      <c r="E21" s="10">
        <f>SUM(E17:E20)</f>
        <v>390</v>
      </c>
      <c r="F21" s="14">
        <f t="shared" ref="F21" si="3">E21/$D$3*100</f>
        <v>10.676156583629894</v>
      </c>
      <c r="G21" s="51"/>
    </row>
    <row r="22" spans="1:14" x14ac:dyDescent="0.2">
      <c r="A22" s="1" t="str">
        <f t="shared" si="1"/>
        <v/>
      </c>
      <c r="B22" s="53"/>
      <c r="C22" s="46" t="s">
        <v>40</v>
      </c>
      <c r="D22" s="33"/>
      <c r="E22" s="31"/>
      <c r="F22" s="32"/>
    </row>
    <row r="23" spans="1:14" x14ac:dyDescent="0.2">
      <c r="A23" s="1" t="str">
        <f t="shared" si="1"/>
        <v/>
      </c>
      <c r="C23" s="47" t="s">
        <v>77</v>
      </c>
      <c r="D23" s="22">
        <v>40908</v>
      </c>
      <c r="E23" s="10">
        <v>0</v>
      </c>
      <c r="F23" s="14">
        <f>E23/$D$3*100</f>
        <v>0</v>
      </c>
      <c r="G23" s="51"/>
      <c r="I23" s="50"/>
      <c r="J23" s="50"/>
    </row>
    <row r="24" spans="1:14" x14ac:dyDescent="0.2">
      <c r="A24" s="1" t="str">
        <f t="shared" si="1"/>
        <v>ok</v>
      </c>
      <c r="C24" s="47" t="s">
        <v>78</v>
      </c>
      <c r="D24" s="22">
        <v>40908</v>
      </c>
      <c r="E24" s="10">
        <f>1542.45-350</f>
        <v>1192.45</v>
      </c>
      <c r="F24" s="14">
        <f>E24/$D$3*100</f>
        <v>32.643033123460171</v>
      </c>
      <c r="G24" s="51" t="s">
        <v>33</v>
      </c>
      <c r="I24" s="50"/>
      <c r="J24" s="50"/>
    </row>
    <row r="25" spans="1:14" x14ac:dyDescent="0.2">
      <c r="C25" s="47" t="s">
        <v>11</v>
      </c>
      <c r="D25" s="22">
        <v>40908</v>
      </c>
      <c r="E25" s="10">
        <v>0</v>
      </c>
      <c r="F25" s="14">
        <f t="shared" si="2"/>
        <v>0</v>
      </c>
      <c r="G25" s="51"/>
      <c r="I25" s="50"/>
      <c r="J25" s="50"/>
    </row>
    <row r="26" spans="1:14" x14ac:dyDescent="0.2">
      <c r="A26" s="1" t="str">
        <f t="shared" si="1"/>
        <v/>
      </c>
      <c r="B26" s="41"/>
      <c r="C26" s="67" t="s">
        <v>57</v>
      </c>
      <c r="D26" s="54"/>
      <c r="E26" s="10">
        <f>SUM(E23:E25)</f>
        <v>1192.45</v>
      </c>
      <c r="F26" s="14">
        <f t="shared" si="2"/>
        <v>32.643033123460171</v>
      </c>
      <c r="G26" s="51"/>
      <c r="I26" s="50"/>
    </row>
    <row r="27" spans="1:14" x14ac:dyDescent="0.2">
      <c r="A27" s="1" t="str">
        <f t="shared" ref="A27:A29" si="4">CONCATENATE(B27,G27)</f>
        <v/>
      </c>
      <c r="B27" s="53"/>
      <c r="C27" s="46" t="s">
        <v>110</v>
      </c>
      <c r="D27" s="33"/>
      <c r="E27" s="31"/>
      <c r="F27" s="32"/>
      <c r="I27" s="123" t="s">
        <v>116</v>
      </c>
      <c r="J27" s="124"/>
      <c r="L27" s="1" t="s">
        <v>117</v>
      </c>
      <c r="M27" s="53">
        <v>1.53</v>
      </c>
      <c r="N27" s="1">
        <f>M27</f>
        <v>1.53</v>
      </c>
    </row>
    <row r="28" spans="1:14" x14ac:dyDescent="0.2">
      <c r="A28" s="1" t="str">
        <f t="shared" si="4"/>
        <v/>
      </c>
      <c r="C28" s="47" t="s">
        <v>111</v>
      </c>
      <c r="D28" s="22">
        <v>40908</v>
      </c>
      <c r="E28" s="10">
        <v>3555.59</v>
      </c>
      <c r="F28" s="14">
        <f>E28/$D$3*100</f>
        <v>97.333424582534917</v>
      </c>
      <c r="G28" s="51"/>
      <c r="I28" s="83" t="s">
        <v>115</v>
      </c>
      <c r="J28" s="84">
        <v>2500</v>
      </c>
    </row>
    <row r="29" spans="1:14" x14ac:dyDescent="0.2">
      <c r="A29" s="1" t="str">
        <f t="shared" si="4"/>
        <v/>
      </c>
      <c r="C29" s="47" t="s">
        <v>112</v>
      </c>
      <c r="D29" s="22">
        <v>40908</v>
      </c>
      <c r="E29" s="10">
        <f>2612*1.43</f>
        <v>3735.16</v>
      </c>
      <c r="F29" s="14">
        <f>E29/$D$3*100</f>
        <v>102.2491103202847</v>
      </c>
      <c r="G29" s="51"/>
      <c r="I29" s="83" t="s">
        <v>8</v>
      </c>
      <c r="J29" s="84">
        <v>450</v>
      </c>
      <c r="M29" s="90" t="s">
        <v>119</v>
      </c>
      <c r="N29" s="90" t="s">
        <v>51</v>
      </c>
    </row>
    <row r="30" spans="1:14" x14ac:dyDescent="0.2">
      <c r="A30" s="1" t="str">
        <f t="shared" ref="A30" si="5">CONCATENATE(B30,G30)</f>
        <v>ok</v>
      </c>
      <c r="C30" s="47" t="s">
        <v>113</v>
      </c>
      <c r="D30" s="22">
        <v>40908</v>
      </c>
      <c r="E30" s="10">
        <f>200*1.43</f>
        <v>286</v>
      </c>
      <c r="F30" s="14">
        <f>E30/$D$3*100</f>
        <v>7.8291814946619214</v>
      </c>
      <c r="G30" s="51" t="s">
        <v>33</v>
      </c>
      <c r="I30" s="83" t="s">
        <v>98</v>
      </c>
      <c r="J30" s="84">
        <v>2300</v>
      </c>
      <c r="L30" s="1" t="s">
        <v>10</v>
      </c>
      <c r="M30" s="1">
        <v>600</v>
      </c>
      <c r="N30" s="1">
        <f>M30*M27</f>
        <v>918</v>
      </c>
    </row>
    <row r="31" spans="1:14" x14ac:dyDescent="0.2">
      <c r="C31" s="47" t="s">
        <v>114</v>
      </c>
      <c r="D31" s="22">
        <v>40908</v>
      </c>
      <c r="E31" s="10">
        <f>1000*1.53</f>
        <v>1530</v>
      </c>
      <c r="F31" s="14">
        <f t="shared" ref="F31:F32" si="6">E31/$D$3*100</f>
        <v>41.883383520394197</v>
      </c>
      <c r="G31" s="51" t="s">
        <v>33</v>
      </c>
      <c r="I31" s="85"/>
      <c r="J31" s="86"/>
      <c r="L31" s="1" t="s">
        <v>118</v>
      </c>
      <c r="M31" s="1">
        <v>400</v>
      </c>
      <c r="N31" s="1">
        <f>M31*N27</f>
        <v>612</v>
      </c>
    </row>
    <row r="32" spans="1:14" x14ac:dyDescent="0.2">
      <c r="A32" s="1" t="str">
        <f t="shared" ref="A32" si="7">CONCATENATE(B32,G32)</f>
        <v/>
      </c>
      <c r="B32" s="41"/>
      <c r="C32" s="67" t="s">
        <v>57</v>
      </c>
      <c r="D32" s="54"/>
      <c r="E32" s="10">
        <f>SUM(E28:E31)</f>
        <v>9106.75</v>
      </c>
      <c r="F32" s="14">
        <f t="shared" si="6"/>
        <v>249.29509991787572</v>
      </c>
      <c r="G32" s="51"/>
      <c r="I32" s="87"/>
      <c r="J32" s="86"/>
    </row>
    <row r="33" spans="1:14" x14ac:dyDescent="0.2">
      <c r="A33" s="1" t="str">
        <f t="shared" si="1"/>
        <v/>
      </c>
      <c r="C33" s="34"/>
      <c r="D33" s="33"/>
      <c r="E33" s="31"/>
      <c r="F33" s="32"/>
      <c r="G33" s="39"/>
      <c r="I33" s="88" t="s">
        <v>45</v>
      </c>
      <c r="J33" s="89">
        <f>SUM(J28:J30)</f>
        <v>5250</v>
      </c>
    </row>
    <row r="34" spans="1:14" ht="13.5" thickBot="1" x14ac:dyDescent="0.25">
      <c r="A34" s="1" t="str">
        <f t="shared" si="1"/>
        <v/>
      </c>
      <c r="C34" s="125" t="s">
        <v>20</v>
      </c>
      <c r="D34" s="126"/>
      <c r="E34" s="18">
        <f>SUM(E7:E14,E17:E20,E23:E25)</f>
        <v>2903.26</v>
      </c>
      <c r="F34" s="56">
        <f t="shared" si="2"/>
        <v>79.476047084588018</v>
      </c>
      <c r="L34" s="1" t="s">
        <v>45</v>
      </c>
      <c r="M34" s="1">
        <f>M31+M30</f>
        <v>1000</v>
      </c>
      <c r="N34" s="1">
        <f>N31+N30</f>
        <v>1530</v>
      </c>
    </row>
    <row r="35" spans="1:14" x14ac:dyDescent="0.2">
      <c r="A35" s="1" t="str">
        <f t="shared" si="1"/>
        <v/>
      </c>
    </row>
    <row r="36" spans="1:14" x14ac:dyDescent="0.2">
      <c r="A36" s="1" t="str">
        <f t="shared" si="1"/>
        <v/>
      </c>
    </row>
    <row r="37" spans="1:14" x14ac:dyDescent="0.2">
      <c r="A37" s="1" t="str">
        <f t="shared" si="1"/>
        <v/>
      </c>
    </row>
    <row r="39" spans="1:14" x14ac:dyDescent="0.2">
      <c r="C39" s="53"/>
      <c r="E39" s="4"/>
    </row>
    <row r="40" spans="1:14" x14ac:dyDescent="0.2">
      <c r="C40" s="53"/>
      <c r="E40" s="4"/>
    </row>
    <row r="41" spans="1:14" x14ac:dyDescent="0.2">
      <c r="C41" s="53"/>
      <c r="E41" s="4"/>
    </row>
    <row r="42" spans="1:14" x14ac:dyDescent="0.2">
      <c r="C42" s="53"/>
      <c r="E42" s="4"/>
    </row>
    <row r="43" spans="1:14" x14ac:dyDescent="0.2">
      <c r="C43" s="53"/>
      <c r="E43" s="4"/>
    </row>
    <row r="44" spans="1:14" x14ac:dyDescent="0.2">
      <c r="C44" s="53"/>
      <c r="E44" s="4"/>
    </row>
    <row r="45" spans="1:14" x14ac:dyDescent="0.2">
      <c r="C45" s="53"/>
      <c r="E45" s="4"/>
    </row>
    <row r="47" spans="1:14" x14ac:dyDescent="0.2">
      <c r="C47" s="53"/>
      <c r="E47" s="4"/>
    </row>
    <row r="49" spans="3:5" x14ac:dyDescent="0.2">
      <c r="C49" s="53"/>
      <c r="E49" s="4"/>
    </row>
  </sheetData>
  <mergeCells count="4">
    <mergeCell ref="C34:D34"/>
    <mergeCell ref="I5:J5"/>
    <mergeCell ref="I13:J13"/>
    <mergeCell ref="I27:J27"/>
  </mergeCells>
  <conditionalFormatting sqref="G23:G33 G7:G21">
    <cfRule type="cellIs" dxfId="29" priority="15" stopIfTrue="1" operator="equal">
      <formula>"ok"</formula>
    </cfRule>
  </conditionalFormatting>
  <conditionalFormatting sqref="F16 F18:F27 F33 F7:F14">
    <cfRule type="cellIs" dxfId="28" priority="14" stopIfTrue="1" operator="greaterThan">
      <formula>15</formula>
    </cfRule>
  </conditionalFormatting>
  <conditionalFormatting sqref="J3 L3">
    <cfRule type="cellIs" dxfId="27" priority="13" stopIfTrue="1" operator="lessThan">
      <formula>0</formula>
    </cfRule>
  </conditionalFormatting>
  <conditionalFormatting sqref="F17">
    <cfRule type="cellIs" dxfId="26" priority="10" stopIfTrue="1" operator="lessThan">
      <formula>15</formula>
    </cfRule>
    <cfRule type="cellIs" dxfId="25" priority="11" stopIfTrue="1" operator="between">
      <formula>15</formula>
      <formula>19</formula>
    </cfRule>
    <cfRule type="cellIs" dxfId="24" priority="12" stopIfTrue="1" operator="greaterThanOrEqual">
      <formula>20</formula>
    </cfRule>
  </conditionalFormatting>
  <conditionalFormatting sqref="E8:E14 E23:E27">
    <cfRule type="cellIs" dxfId="23" priority="9" stopIfTrue="1" operator="greaterThan">
      <formula>400</formula>
    </cfRule>
  </conditionalFormatting>
  <conditionalFormatting sqref="E15 E26:E27">
    <cfRule type="cellIs" dxfId="22" priority="8" operator="greaterThan">
      <formula>1100</formula>
    </cfRule>
  </conditionalFormatting>
  <conditionalFormatting sqref="E21">
    <cfRule type="cellIs" dxfId="21" priority="7" operator="lessThan">
      <formula>250</formula>
    </cfRule>
  </conditionalFormatting>
  <conditionalFormatting sqref="E23:E24 E12">
    <cfRule type="cellIs" dxfId="20" priority="6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20"/>
      <c r="J7" s="20"/>
      <c r="K7" s="20"/>
      <c r="L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19" priority="10" stopIfTrue="1" operator="equal">
      <formula>"ok"</formula>
    </cfRule>
  </conditionalFormatting>
  <conditionalFormatting sqref="E21 E23:E30 E14:E19">
    <cfRule type="cellIs" dxfId="18" priority="9" stopIfTrue="1" operator="greaterThan">
      <formula>15</formula>
    </cfRule>
  </conditionalFormatting>
  <conditionalFormatting sqref="I8:I10">
    <cfRule type="cellIs" dxfId="17" priority="8" stopIfTrue="1" operator="lessThan">
      <formula>0</formula>
    </cfRule>
  </conditionalFormatting>
  <conditionalFormatting sqref="E22">
    <cfRule type="cellIs" dxfId="16" priority="5" stopIfTrue="1" operator="lessThan">
      <formula>15</formula>
    </cfRule>
    <cfRule type="cellIs" dxfId="15" priority="6" stopIfTrue="1" operator="between">
      <formula>15</formula>
      <formula>19</formula>
    </cfRule>
    <cfRule type="cellIs" dxfId="14" priority="7" stopIfTrue="1" operator="greaterThanOrEqual">
      <formula>20</formula>
    </cfRule>
  </conditionalFormatting>
  <conditionalFormatting sqref="D26:D29 D15:D19">
    <cfRule type="cellIs" dxfId="13" priority="4" stopIfTrue="1" operator="greaterThan">
      <formula>400</formula>
    </cfRule>
  </conditionalFormatting>
  <conditionalFormatting sqref="D20 D29">
    <cfRule type="cellIs" dxfId="12" priority="3" operator="greaterThan">
      <formula>1100</formula>
    </cfRule>
  </conditionalFormatting>
  <conditionalFormatting sqref="D24">
    <cfRule type="cellIs" dxfId="11" priority="2" operator="lessThan">
      <formula>250</formula>
    </cfRule>
  </conditionalFormatting>
  <conditionalFormatting sqref="D26:D27 D17">
    <cfRule type="cellIs" dxfId="10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9" priority="10" stopIfTrue="1" operator="equal">
      <formula>"ok"</formula>
    </cfRule>
  </conditionalFormatting>
  <conditionalFormatting sqref="E21 E23:E30 E14:E19">
    <cfRule type="cellIs" dxfId="8" priority="9" stopIfTrue="1" operator="greaterThan">
      <formula>15</formula>
    </cfRule>
  </conditionalFormatting>
  <conditionalFormatting sqref="I7:I10">
    <cfRule type="cellIs" dxfId="7" priority="8" stopIfTrue="1" operator="lessThan">
      <formula>0</formula>
    </cfRule>
  </conditionalFormatting>
  <conditionalFormatting sqref="E22">
    <cfRule type="cellIs" dxfId="6" priority="5" stopIfTrue="1" operator="lessThan">
      <formula>15</formula>
    </cfRule>
    <cfRule type="cellIs" dxfId="5" priority="6" stopIfTrue="1" operator="between">
      <formula>15</formula>
      <formula>19</formula>
    </cfRule>
    <cfRule type="cellIs" dxfId="4" priority="7" stopIfTrue="1" operator="greaterThanOrEqual">
      <formula>20</formula>
    </cfRule>
  </conditionalFormatting>
  <conditionalFormatting sqref="D26:D29 D15:D19">
    <cfRule type="cellIs" dxfId="3" priority="4" stopIfTrue="1" operator="greaterThan">
      <formula>400</formula>
    </cfRule>
  </conditionalFormatting>
  <conditionalFormatting sqref="D20 D29">
    <cfRule type="cellIs" dxfId="2" priority="3" operator="greaterThan">
      <formula>1100</formula>
    </cfRule>
  </conditionalFormatting>
  <conditionalFormatting sqref="D24">
    <cfRule type="cellIs" dxfId="1" priority="2" operator="lessThan">
      <formula>250</formula>
    </cfRule>
  </conditionalFormatting>
  <conditionalFormatting sqref="D26:D27 D17">
    <cfRule type="cellIs" dxfId="0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showGridLines="0" workbookViewId="0">
      <pane ySplit="2" topLeftCell="A177" activePane="bottomLeft" state="frozen"/>
      <selection pane="bottomLeft" activeCell="H49" sqref="H49"/>
    </sheetView>
  </sheetViews>
  <sheetFormatPr defaultRowHeight="12.75" x14ac:dyDescent="0.2"/>
  <cols>
    <col min="6" max="6" width="17.5703125" bestFit="1" customWidth="1"/>
    <col min="7" max="7" width="14.85546875" bestFit="1" customWidth="1"/>
    <col min="8" max="9" width="12.5703125" style="94" bestFit="1" customWidth="1"/>
  </cols>
  <sheetData>
    <row r="1" spans="1:9" ht="13.5" thickBot="1" x14ac:dyDescent="0.25"/>
    <row r="2" spans="1:9" x14ac:dyDescent="0.2">
      <c r="A2" s="95" t="s">
        <v>133</v>
      </c>
      <c r="D2" s="42" t="s">
        <v>131</v>
      </c>
      <c r="E2" s="117" t="s">
        <v>153</v>
      </c>
      <c r="F2" s="43" t="s">
        <v>132</v>
      </c>
      <c r="G2" s="44" t="s">
        <v>2</v>
      </c>
      <c r="H2" s="45" t="s">
        <v>4</v>
      </c>
      <c r="I2" s="45" t="s">
        <v>155</v>
      </c>
    </row>
    <row r="3" spans="1:9" x14ac:dyDescent="0.2">
      <c r="A3" s="95"/>
      <c r="D3" s="107" t="s">
        <v>137</v>
      </c>
      <c r="E3" s="118" t="s">
        <v>151</v>
      </c>
      <c r="F3" s="111" t="s">
        <v>128</v>
      </c>
      <c r="G3" s="99"/>
      <c r="H3" s="110">
        <f>SUMIF($F$12:F214,$F3,$H$12:H214)</f>
        <v>31652.09</v>
      </c>
      <c r="I3" s="110">
        <f t="shared" ref="I3:I10" si="0">IF(E3="Crédito",H3,H3*-1)</f>
        <v>31652.09</v>
      </c>
    </row>
    <row r="4" spans="1:9" x14ac:dyDescent="0.2">
      <c r="A4" s="95"/>
      <c r="D4" s="107" t="s">
        <v>137</v>
      </c>
      <c r="E4" s="118" t="s">
        <v>151</v>
      </c>
      <c r="F4" s="111" t="s">
        <v>129</v>
      </c>
      <c r="G4" s="99"/>
      <c r="H4" s="110">
        <f>SUMIF($F$12:F215,$F4,$H$12:H215)</f>
        <v>23227.78</v>
      </c>
      <c r="I4" s="110">
        <f t="shared" si="0"/>
        <v>23227.78</v>
      </c>
    </row>
    <row r="5" spans="1:9" x14ac:dyDescent="0.2">
      <c r="A5" s="95"/>
      <c r="D5" s="107" t="s">
        <v>137</v>
      </c>
      <c r="E5" s="118" t="s">
        <v>152</v>
      </c>
      <c r="F5" s="111" t="s">
        <v>38</v>
      </c>
      <c r="G5" s="99"/>
      <c r="H5" s="110">
        <f>SUMIF($F$12:F216,$F5,$H$12:H216)</f>
        <v>5803.0290000000005</v>
      </c>
      <c r="I5" s="110">
        <f t="shared" si="0"/>
        <v>-5803.0290000000005</v>
      </c>
    </row>
    <row r="6" spans="1:9" x14ac:dyDescent="0.2">
      <c r="A6" s="95"/>
      <c r="D6" s="107" t="s">
        <v>137</v>
      </c>
      <c r="E6" s="118" t="s">
        <v>152</v>
      </c>
      <c r="F6" s="111" t="s">
        <v>41</v>
      </c>
      <c r="G6" s="99"/>
      <c r="H6" s="110">
        <f>SUMIF($F$12:F217,$F6,$H$12:H217)</f>
        <v>1262.5</v>
      </c>
      <c r="I6" s="110">
        <f t="shared" si="0"/>
        <v>-1262.5</v>
      </c>
    </row>
    <row r="7" spans="1:9" x14ac:dyDescent="0.2">
      <c r="A7" s="95"/>
      <c r="D7" s="107" t="s">
        <v>137</v>
      </c>
      <c r="E7" s="118" t="s">
        <v>152</v>
      </c>
      <c r="F7" s="111" t="s">
        <v>10</v>
      </c>
      <c r="G7" s="99"/>
      <c r="H7" s="110">
        <f>SUMIF($F$12:F218,$F7,$H$12:H218)</f>
        <v>14783.29</v>
      </c>
      <c r="I7" s="110">
        <f t="shared" si="0"/>
        <v>-14783.29</v>
      </c>
    </row>
    <row r="8" spans="1:9" x14ac:dyDescent="0.2">
      <c r="A8" s="95"/>
      <c r="D8" s="107" t="s">
        <v>137</v>
      </c>
      <c r="E8" s="118" t="s">
        <v>152</v>
      </c>
      <c r="F8" s="111" t="s">
        <v>40</v>
      </c>
      <c r="G8" s="99"/>
      <c r="H8" s="110">
        <f>SUMIF($F$12:F219,$F8,$H$12:H219)</f>
        <v>1064</v>
      </c>
      <c r="I8" s="110">
        <f t="shared" si="0"/>
        <v>-1064</v>
      </c>
    </row>
    <row r="9" spans="1:9" x14ac:dyDescent="0.2">
      <c r="A9" s="95"/>
      <c r="D9" s="107" t="s">
        <v>137</v>
      </c>
      <c r="E9" s="118" t="s">
        <v>152</v>
      </c>
      <c r="F9" s="111" t="s">
        <v>123</v>
      </c>
      <c r="G9" s="99"/>
      <c r="H9" s="110">
        <f>SUMIF($F$12:F220,$F9,$H$12:H220)</f>
        <v>16460</v>
      </c>
      <c r="I9" s="110">
        <f t="shared" si="0"/>
        <v>-16460</v>
      </c>
    </row>
    <row r="10" spans="1:9" x14ac:dyDescent="0.2">
      <c r="A10" s="95"/>
      <c r="D10" s="107" t="s">
        <v>137</v>
      </c>
      <c r="E10" s="118" t="s">
        <v>152</v>
      </c>
      <c r="F10" s="111" t="s">
        <v>120</v>
      </c>
      <c r="G10" s="99"/>
      <c r="H10" s="110">
        <f>SUMIF($F$12:F221,$F10,$H$12:H221)</f>
        <v>1262.76</v>
      </c>
      <c r="I10" s="110">
        <f t="shared" si="0"/>
        <v>-1262.76</v>
      </c>
    </row>
    <row r="11" spans="1:9" x14ac:dyDescent="0.2">
      <c r="A11" s="95"/>
      <c r="D11" s="107"/>
      <c r="E11" s="108"/>
      <c r="F11" s="108"/>
      <c r="G11" s="109"/>
      <c r="H11" s="110"/>
      <c r="I11" s="110"/>
    </row>
    <row r="12" spans="1:9" x14ac:dyDescent="0.2">
      <c r="D12" s="101">
        <v>40909</v>
      </c>
      <c r="E12" s="119" t="s">
        <v>151</v>
      </c>
      <c r="F12" s="100" t="s">
        <v>128</v>
      </c>
      <c r="G12" s="47" t="s">
        <v>128</v>
      </c>
      <c r="H12" s="96">
        <v>4000</v>
      </c>
      <c r="I12" s="96">
        <f>IF(E12="Crédito",H12,H12*-1)</f>
        <v>4000</v>
      </c>
    </row>
    <row r="13" spans="1:9" x14ac:dyDescent="0.2">
      <c r="D13" s="101">
        <v>40909</v>
      </c>
      <c r="E13" s="119" t="s">
        <v>151</v>
      </c>
      <c r="F13" s="46" t="s">
        <v>129</v>
      </c>
      <c r="G13" s="47" t="s">
        <v>129</v>
      </c>
      <c r="H13" s="96">
        <v>3653</v>
      </c>
      <c r="I13" s="96">
        <f t="shared" ref="I13:I75" si="1">IF(E13="Crédito",H13,H13*-1)</f>
        <v>3653</v>
      </c>
    </row>
    <row r="14" spans="1:9" x14ac:dyDescent="0.2">
      <c r="D14" s="101">
        <v>40909</v>
      </c>
      <c r="E14" s="120" t="s">
        <v>152</v>
      </c>
      <c r="F14" s="46" t="s">
        <v>38</v>
      </c>
      <c r="G14" s="47" t="s">
        <v>23</v>
      </c>
      <c r="H14" s="96">
        <f>H12*10%</f>
        <v>400</v>
      </c>
      <c r="I14" s="96">
        <f t="shared" si="1"/>
        <v>-400</v>
      </c>
    </row>
    <row r="15" spans="1:9" x14ac:dyDescent="0.2">
      <c r="D15" s="101">
        <v>40909</v>
      </c>
      <c r="E15" s="120" t="s">
        <v>152</v>
      </c>
      <c r="F15" s="46" t="s">
        <v>38</v>
      </c>
      <c r="G15" s="47" t="s">
        <v>31</v>
      </c>
      <c r="H15" s="96">
        <v>277</v>
      </c>
      <c r="I15" s="96">
        <f t="shared" si="1"/>
        <v>-277</v>
      </c>
    </row>
    <row r="16" spans="1:9" x14ac:dyDescent="0.2">
      <c r="D16" s="101">
        <v>40909</v>
      </c>
      <c r="E16" s="120" t="s">
        <v>152</v>
      </c>
      <c r="F16" s="46" t="s">
        <v>38</v>
      </c>
      <c r="G16" s="47" t="s">
        <v>8</v>
      </c>
      <c r="H16" s="96">
        <v>100</v>
      </c>
      <c r="I16" s="96">
        <f t="shared" si="1"/>
        <v>-100</v>
      </c>
    </row>
    <row r="17" spans="4:9" x14ac:dyDescent="0.2">
      <c r="D17" s="101">
        <v>40909</v>
      </c>
      <c r="E17" s="120" t="s">
        <v>152</v>
      </c>
      <c r="F17" s="46" t="s">
        <v>38</v>
      </c>
      <c r="G17" s="47" t="s">
        <v>9</v>
      </c>
      <c r="H17" s="96">
        <v>0</v>
      </c>
      <c r="I17" s="96">
        <f t="shared" si="1"/>
        <v>0</v>
      </c>
    </row>
    <row r="18" spans="4:9" x14ac:dyDescent="0.2">
      <c r="D18" s="101">
        <v>40909</v>
      </c>
      <c r="E18" s="120" t="s">
        <v>152</v>
      </c>
      <c r="F18" s="46" t="s">
        <v>38</v>
      </c>
      <c r="G18" s="47" t="s">
        <v>36</v>
      </c>
      <c r="H18" s="96">
        <v>35</v>
      </c>
      <c r="I18" s="96">
        <f t="shared" si="1"/>
        <v>-35</v>
      </c>
    </row>
    <row r="19" spans="4:9" x14ac:dyDescent="0.2">
      <c r="D19" s="101">
        <v>40909</v>
      </c>
      <c r="E19" s="120" t="s">
        <v>152</v>
      </c>
      <c r="F19" s="46" t="s">
        <v>38</v>
      </c>
      <c r="G19" s="47" t="s">
        <v>85</v>
      </c>
      <c r="H19" s="96">
        <v>118</v>
      </c>
      <c r="I19" s="96">
        <f t="shared" si="1"/>
        <v>-118</v>
      </c>
    </row>
    <row r="20" spans="4:9" x14ac:dyDescent="0.2">
      <c r="D20" s="101">
        <v>40909</v>
      </c>
      <c r="E20" s="120" t="s">
        <v>152</v>
      </c>
      <c r="F20" s="46" t="s">
        <v>38</v>
      </c>
      <c r="G20" s="47" t="s">
        <v>130</v>
      </c>
      <c r="H20" s="96">
        <v>0</v>
      </c>
      <c r="I20" s="96">
        <f t="shared" si="1"/>
        <v>0</v>
      </c>
    </row>
    <row r="21" spans="4:9" x14ac:dyDescent="0.2">
      <c r="D21" s="101">
        <v>40909</v>
      </c>
      <c r="E21" s="120" t="s">
        <v>152</v>
      </c>
      <c r="F21" s="46" t="s">
        <v>41</v>
      </c>
      <c r="G21" s="47" t="s">
        <v>42</v>
      </c>
      <c r="H21" s="96">
        <v>0</v>
      </c>
      <c r="I21" s="96">
        <f t="shared" si="1"/>
        <v>0</v>
      </c>
    </row>
    <row r="22" spans="4:9" x14ac:dyDescent="0.2">
      <c r="D22" s="101">
        <v>40909</v>
      </c>
      <c r="E22" s="120" t="s">
        <v>152</v>
      </c>
      <c r="F22" s="46" t="s">
        <v>41</v>
      </c>
      <c r="G22" s="47" t="s">
        <v>26</v>
      </c>
      <c r="H22" s="96">
        <v>100</v>
      </c>
      <c r="I22" s="96">
        <f t="shared" si="1"/>
        <v>-100</v>
      </c>
    </row>
    <row r="23" spans="4:9" x14ac:dyDescent="0.2">
      <c r="D23" s="101">
        <v>40909</v>
      </c>
      <c r="E23" s="120" t="s">
        <v>152</v>
      </c>
      <c r="F23" s="46" t="s">
        <v>41</v>
      </c>
      <c r="G23" s="47" t="s">
        <v>27</v>
      </c>
      <c r="H23" s="96">
        <v>100</v>
      </c>
      <c r="I23" s="96">
        <f t="shared" si="1"/>
        <v>-100</v>
      </c>
    </row>
    <row r="24" spans="4:9" x14ac:dyDescent="0.2">
      <c r="D24" s="101">
        <v>40909</v>
      </c>
      <c r="E24" s="120" t="s">
        <v>152</v>
      </c>
      <c r="F24" s="46" t="s">
        <v>41</v>
      </c>
      <c r="G24" s="47" t="s">
        <v>39</v>
      </c>
      <c r="H24" s="96">
        <v>0</v>
      </c>
      <c r="I24" s="96">
        <f t="shared" si="1"/>
        <v>0</v>
      </c>
    </row>
    <row r="25" spans="4:9" x14ac:dyDescent="0.2">
      <c r="D25" s="101">
        <v>40909</v>
      </c>
      <c r="E25" s="120" t="s">
        <v>152</v>
      </c>
      <c r="F25" s="46" t="s">
        <v>10</v>
      </c>
      <c r="G25" s="47" t="s">
        <v>77</v>
      </c>
      <c r="H25" s="96">
        <v>91.53</v>
      </c>
      <c r="I25" s="96">
        <f t="shared" si="1"/>
        <v>-91.53</v>
      </c>
    </row>
    <row r="26" spans="4:9" x14ac:dyDescent="0.2">
      <c r="D26" s="101">
        <v>40909</v>
      </c>
      <c r="E26" s="120" t="s">
        <v>152</v>
      </c>
      <c r="F26" s="46" t="s">
        <v>10</v>
      </c>
      <c r="G26" s="47" t="s">
        <v>78</v>
      </c>
      <c r="H26" s="96">
        <v>2000</v>
      </c>
      <c r="I26" s="96">
        <f t="shared" si="1"/>
        <v>-2000</v>
      </c>
    </row>
    <row r="27" spans="4:9" x14ac:dyDescent="0.2">
      <c r="D27" s="101">
        <v>40909</v>
      </c>
      <c r="E27" s="120" t="s">
        <v>152</v>
      </c>
      <c r="F27" s="46" t="s">
        <v>40</v>
      </c>
      <c r="G27" s="47" t="s">
        <v>11</v>
      </c>
      <c r="H27" s="96">
        <v>0</v>
      </c>
      <c r="I27" s="96">
        <f t="shared" si="1"/>
        <v>0</v>
      </c>
    </row>
    <row r="28" spans="4:9" x14ac:dyDescent="0.2">
      <c r="D28" s="101">
        <v>40940</v>
      </c>
      <c r="E28" s="119" t="s">
        <v>151</v>
      </c>
      <c r="F28" s="46" t="s">
        <v>128</v>
      </c>
      <c r="G28" s="47" t="s">
        <v>128</v>
      </c>
      <c r="H28" s="96">
        <v>4000</v>
      </c>
      <c r="I28" s="96">
        <f t="shared" si="1"/>
        <v>4000</v>
      </c>
    </row>
    <row r="29" spans="4:9" x14ac:dyDescent="0.2">
      <c r="D29" s="101">
        <v>40940</v>
      </c>
      <c r="E29" s="119" t="s">
        <v>151</v>
      </c>
      <c r="F29" s="46" t="s">
        <v>129</v>
      </c>
      <c r="G29" s="47" t="s">
        <v>129</v>
      </c>
      <c r="H29" s="96">
        <v>2642.48</v>
      </c>
      <c r="I29" s="96">
        <f t="shared" si="1"/>
        <v>2642.48</v>
      </c>
    </row>
    <row r="30" spans="4:9" x14ac:dyDescent="0.2">
      <c r="D30" s="101">
        <v>40940</v>
      </c>
      <c r="E30" s="120" t="s">
        <v>152</v>
      </c>
      <c r="F30" s="46" t="s">
        <v>38</v>
      </c>
      <c r="G30" s="47" t="s">
        <v>23</v>
      </c>
      <c r="H30" s="96">
        <v>455</v>
      </c>
      <c r="I30" s="96">
        <f t="shared" si="1"/>
        <v>-455</v>
      </c>
    </row>
    <row r="31" spans="4:9" x14ac:dyDescent="0.2">
      <c r="D31" s="101">
        <v>40940</v>
      </c>
      <c r="E31" s="120" t="s">
        <v>152</v>
      </c>
      <c r="F31" s="46" t="s">
        <v>38</v>
      </c>
      <c r="G31" s="47" t="s">
        <v>31</v>
      </c>
      <c r="H31" s="96">
        <v>277</v>
      </c>
      <c r="I31" s="96">
        <f t="shared" si="1"/>
        <v>-277</v>
      </c>
    </row>
    <row r="32" spans="4:9" x14ac:dyDescent="0.2">
      <c r="D32" s="101">
        <v>40940</v>
      </c>
      <c r="E32" s="120" t="s">
        <v>152</v>
      </c>
      <c r="F32" s="46" t="s">
        <v>38</v>
      </c>
      <c r="G32" s="47" t="s">
        <v>8</v>
      </c>
      <c r="H32" s="96">
        <v>100</v>
      </c>
      <c r="I32" s="96">
        <f t="shared" si="1"/>
        <v>-100</v>
      </c>
    </row>
    <row r="33" spans="4:9" x14ac:dyDescent="0.2">
      <c r="D33" s="101">
        <v>40940</v>
      </c>
      <c r="E33" s="120" t="s">
        <v>152</v>
      </c>
      <c r="F33" s="46" t="s">
        <v>38</v>
      </c>
      <c r="G33" s="47" t="s">
        <v>9</v>
      </c>
      <c r="H33" s="96">
        <v>250.15999999999997</v>
      </c>
      <c r="I33" s="96">
        <f t="shared" si="1"/>
        <v>-250.15999999999997</v>
      </c>
    </row>
    <row r="34" spans="4:9" x14ac:dyDescent="0.2">
      <c r="D34" s="101">
        <v>40940</v>
      </c>
      <c r="E34" s="120" t="s">
        <v>152</v>
      </c>
      <c r="F34" s="46" t="s">
        <v>38</v>
      </c>
      <c r="G34" s="47" t="s">
        <v>36</v>
      </c>
      <c r="H34" s="96">
        <v>35</v>
      </c>
      <c r="I34" s="96">
        <f t="shared" si="1"/>
        <v>-35</v>
      </c>
    </row>
    <row r="35" spans="4:9" x14ac:dyDescent="0.2">
      <c r="D35" s="101">
        <v>40940</v>
      </c>
      <c r="E35" s="120" t="s">
        <v>152</v>
      </c>
      <c r="F35" s="46" t="s">
        <v>38</v>
      </c>
      <c r="G35" s="47" t="s">
        <v>85</v>
      </c>
      <c r="H35" s="96">
        <v>160</v>
      </c>
      <c r="I35" s="96">
        <f t="shared" si="1"/>
        <v>-160</v>
      </c>
    </row>
    <row r="36" spans="4:9" x14ac:dyDescent="0.2">
      <c r="D36" s="101">
        <v>40940</v>
      </c>
      <c r="E36" s="120" t="s">
        <v>152</v>
      </c>
      <c r="F36" s="46" t="s">
        <v>38</v>
      </c>
      <c r="G36" s="47" t="s">
        <v>130</v>
      </c>
      <c r="H36" s="96">
        <v>45</v>
      </c>
      <c r="I36" s="96">
        <f t="shared" si="1"/>
        <v>-45</v>
      </c>
    </row>
    <row r="37" spans="4:9" x14ac:dyDescent="0.2">
      <c r="D37" s="101">
        <v>40940</v>
      </c>
      <c r="E37" s="120" t="s">
        <v>152</v>
      </c>
      <c r="F37" s="46" t="s">
        <v>41</v>
      </c>
      <c r="G37" s="47" t="s">
        <v>42</v>
      </c>
      <c r="H37" s="96">
        <v>0</v>
      </c>
      <c r="I37" s="96">
        <f t="shared" si="1"/>
        <v>0</v>
      </c>
    </row>
    <row r="38" spans="4:9" x14ac:dyDescent="0.2">
      <c r="D38" s="101">
        <v>40940</v>
      </c>
      <c r="E38" s="120" t="s">
        <v>152</v>
      </c>
      <c r="F38" s="46" t="s">
        <v>41</v>
      </c>
      <c r="G38" s="47" t="s">
        <v>26</v>
      </c>
      <c r="H38" s="96">
        <v>100</v>
      </c>
      <c r="I38" s="96">
        <f t="shared" si="1"/>
        <v>-100</v>
      </c>
    </row>
    <row r="39" spans="4:9" x14ac:dyDescent="0.2">
      <c r="D39" s="101">
        <v>40940</v>
      </c>
      <c r="E39" s="120" t="s">
        <v>152</v>
      </c>
      <c r="F39" s="46" t="s">
        <v>41</v>
      </c>
      <c r="G39" s="47" t="s">
        <v>27</v>
      </c>
      <c r="H39" s="96">
        <v>100</v>
      </c>
      <c r="I39" s="96">
        <f t="shared" si="1"/>
        <v>-100</v>
      </c>
    </row>
    <row r="40" spans="4:9" x14ac:dyDescent="0.2">
      <c r="D40" s="101">
        <v>40940</v>
      </c>
      <c r="E40" s="120" t="s">
        <v>152</v>
      </c>
      <c r="F40" s="46" t="s">
        <v>41</v>
      </c>
      <c r="G40" s="47" t="s">
        <v>39</v>
      </c>
      <c r="H40" s="96">
        <v>0</v>
      </c>
      <c r="I40" s="96">
        <f t="shared" si="1"/>
        <v>0</v>
      </c>
    </row>
    <row r="41" spans="4:9" x14ac:dyDescent="0.2">
      <c r="D41" s="101">
        <v>40940</v>
      </c>
      <c r="E41" s="120" t="s">
        <v>152</v>
      </c>
      <c r="F41" s="46" t="s">
        <v>120</v>
      </c>
      <c r="G41" s="47" t="s">
        <v>120</v>
      </c>
      <c r="H41" s="96">
        <v>493.18</v>
      </c>
      <c r="I41" s="96">
        <f t="shared" si="1"/>
        <v>-493.18</v>
      </c>
    </row>
    <row r="42" spans="4:9" x14ac:dyDescent="0.2">
      <c r="D42" s="101">
        <v>40940</v>
      </c>
      <c r="E42" s="120" t="s">
        <v>152</v>
      </c>
      <c r="F42" s="46" t="s">
        <v>10</v>
      </c>
      <c r="G42" s="47" t="s">
        <v>77</v>
      </c>
      <c r="H42" s="96">
        <v>400</v>
      </c>
      <c r="I42" s="96">
        <f t="shared" si="1"/>
        <v>-400</v>
      </c>
    </row>
    <row r="43" spans="4:9" x14ac:dyDescent="0.2">
      <c r="D43" s="101">
        <v>40940</v>
      </c>
      <c r="E43" s="120" t="s">
        <v>152</v>
      </c>
      <c r="F43" s="46" t="s">
        <v>10</v>
      </c>
      <c r="G43" s="47" t="s">
        <v>78</v>
      </c>
      <c r="H43" s="96">
        <v>1000</v>
      </c>
      <c r="I43" s="96">
        <f t="shared" si="1"/>
        <v>-1000</v>
      </c>
    </row>
    <row r="44" spans="4:9" x14ac:dyDescent="0.2">
      <c r="D44" s="101">
        <v>40940</v>
      </c>
      <c r="E44" s="120" t="s">
        <v>152</v>
      </c>
      <c r="F44" s="46" t="s">
        <v>10</v>
      </c>
      <c r="G44" s="47" t="s">
        <v>121</v>
      </c>
      <c r="H44" s="96">
        <v>296.08999999999997</v>
      </c>
      <c r="I44" s="96">
        <f t="shared" si="1"/>
        <v>-296.08999999999997</v>
      </c>
    </row>
    <row r="45" spans="4:9" x14ac:dyDescent="0.2">
      <c r="D45" s="101">
        <v>40940</v>
      </c>
      <c r="E45" s="120" t="s">
        <v>152</v>
      </c>
      <c r="F45" s="46" t="s">
        <v>40</v>
      </c>
      <c r="G45" s="47" t="s">
        <v>11</v>
      </c>
      <c r="H45" s="96">
        <v>0</v>
      </c>
      <c r="I45" s="96">
        <f t="shared" si="1"/>
        <v>0</v>
      </c>
    </row>
    <row r="46" spans="4:9" x14ac:dyDescent="0.2">
      <c r="D46" s="101">
        <v>40969</v>
      </c>
      <c r="E46" s="119" t="s">
        <v>151</v>
      </c>
      <c r="F46" s="46" t="s">
        <v>128</v>
      </c>
      <c r="G46" s="47" t="s">
        <v>128</v>
      </c>
      <c r="H46" s="96">
        <v>4550</v>
      </c>
      <c r="I46" s="96">
        <f t="shared" si="1"/>
        <v>4550</v>
      </c>
    </row>
    <row r="47" spans="4:9" x14ac:dyDescent="0.2">
      <c r="D47" s="101">
        <v>40969</v>
      </c>
      <c r="E47" s="119" t="s">
        <v>151</v>
      </c>
      <c r="F47" s="46" t="s">
        <v>129</v>
      </c>
      <c r="G47" s="47" t="s">
        <v>129</v>
      </c>
      <c r="H47" s="96">
        <v>2751.15</v>
      </c>
      <c r="I47" s="96">
        <f t="shared" si="1"/>
        <v>2751.15</v>
      </c>
    </row>
    <row r="48" spans="4:9" x14ac:dyDescent="0.2">
      <c r="D48" s="101">
        <v>40969</v>
      </c>
      <c r="E48" s="119" t="s">
        <v>151</v>
      </c>
      <c r="F48" s="46" t="s">
        <v>123</v>
      </c>
      <c r="G48" s="47" t="s">
        <v>123</v>
      </c>
      <c r="H48" s="96">
        <v>10000</v>
      </c>
      <c r="I48" s="96">
        <f t="shared" ref="I48" si="2">IF(E48="Crédito",H48,H48*-1)</f>
        <v>10000</v>
      </c>
    </row>
    <row r="49" spans="4:9" x14ac:dyDescent="0.2">
      <c r="D49" s="101">
        <v>40969</v>
      </c>
      <c r="E49" s="120" t="s">
        <v>152</v>
      </c>
      <c r="F49" s="46" t="s">
        <v>38</v>
      </c>
      <c r="G49" s="47" t="s">
        <v>23</v>
      </c>
      <c r="H49" s="96">
        <v>455</v>
      </c>
      <c r="I49" s="96">
        <f t="shared" si="1"/>
        <v>-455</v>
      </c>
    </row>
    <row r="50" spans="4:9" x14ac:dyDescent="0.2">
      <c r="D50" s="101">
        <v>40969</v>
      </c>
      <c r="E50" s="120" t="s">
        <v>152</v>
      </c>
      <c r="F50" s="46" t="s">
        <v>38</v>
      </c>
      <c r="G50" s="47" t="s">
        <v>31</v>
      </c>
      <c r="H50" s="96">
        <v>277</v>
      </c>
      <c r="I50" s="96">
        <f t="shared" si="1"/>
        <v>-277</v>
      </c>
    </row>
    <row r="51" spans="4:9" x14ac:dyDescent="0.2">
      <c r="D51" s="101">
        <v>40969</v>
      </c>
      <c r="E51" s="120" t="s">
        <v>152</v>
      </c>
      <c r="F51" s="46" t="s">
        <v>38</v>
      </c>
      <c r="G51" s="47" t="s">
        <v>8</v>
      </c>
      <c r="H51" s="96">
        <v>100</v>
      </c>
      <c r="I51" s="96">
        <f t="shared" si="1"/>
        <v>-100</v>
      </c>
    </row>
    <row r="52" spans="4:9" x14ac:dyDescent="0.2">
      <c r="D52" s="101">
        <v>40969</v>
      </c>
      <c r="E52" s="120" t="s">
        <v>152</v>
      </c>
      <c r="F52" s="46" t="s">
        <v>38</v>
      </c>
      <c r="G52" s="47" t="s">
        <v>9</v>
      </c>
      <c r="H52" s="96">
        <v>52.09</v>
      </c>
      <c r="I52" s="96">
        <f t="shared" si="1"/>
        <v>-52.09</v>
      </c>
    </row>
    <row r="53" spans="4:9" x14ac:dyDescent="0.2">
      <c r="D53" s="101">
        <v>40969</v>
      </c>
      <c r="E53" s="120" t="s">
        <v>152</v>
      </c>
      <c r="F53" s="46" t="s">
        <v>38</v>
      </c>
      <c r="G53" s="47" t="s">
        <v>36</v>
      </c>
      <c r="H53" s="96">
        <v>35</v>
      </c>
      <c r="I53" s="96">
        <f t="shared" si="1"/>
        <v>-35</v>
      </c>
    </row>
    <row r="54" spans="4:9" x14ac:dyDescent="0.2">
      <c r="D54" s="101">
        <v>40969</v>
      </c>
      <c r="E54" s="120" t="s">
        <v>152</v>
      </c>
      <c r="F54" s="46" t="s">
        <v>38</v>
      </c>
      <c r="G54" s="47" t="s">
        <v>85</v>
      </c>
      <c r="H54" s="96">
        <v>119</v>
      </c>
      <c r="I54" s="96">
        <f t="shared" si="1"/>
        <v>-119</v>
      </c>
    </row>
    <row r="55" spans="4:9" x14ac:dyDescent="0.2">
      <c r="D55" s="101">
        <v>40969</v>
      </c>
      <c r="E55" s="120" t="s">
        <v>152</v>
      </c>
      <c r="F55" s="46" t="s">
        <v>41</v>
      </c>
      <c r="G55" s="47" t="s">
        <v>42</v>
      </c>
      <c r="H55" s="96">
        <v>0</v>
      </c>
      <c r="I55" s="96">
        <f t="shared" si="1"/>
        <v>0</v>
      </c>
    </row>
    <row r="56" spans="4:9" x14ac:dyDescent="0.2">
      <c r="D56" s="101">
        <v>40969</v>
      </c>
      <c r="E56" s="120" t="s">
        <v>152</v>
      </c>
      <c r="F56" s="46" t="s">
        <v>41</v>
      </c>
      <c r="G56" s="47" t="s">
        <v>26</v>
      </c>
      <c r="H56" s="96">
        <v>100</v>
      </c>
      <c r="I56" s="96">
        <f t="shared" si="1"/>
        <v>-100</v>
      </c>
    </row>
    <row r="57" spans="4:9" x14ac:dyDescent="0.2">
      <c r="D57" s="101">
        <v>40969</v>
      </c>
      <c r="E57" s="120" t="s">
        <v>152</v>
      </c>
      <c r="F57" s="46" t="s">
        <v>41</v>
      </c>
      <c r="G57" s="47" t="s">
        <v>27</v>
      </c>
      <c r="H57" s="96">
        <v>100</v>
      </c>
      <c r="I57" s="96">
        <f t="shared" si="1"/>
        <v>-100</v>
      </c>
    </row>
    <row r="58" spans="4:9" x14ac:dyDescent="0.2">
      <c r="D58" s="101">
        <v>40969</v>
      </c>
      <c r="E58" s="120" t="s">
        <v>152</v>
      </c>
      <c r="F58" s="46" t="s">
        <v>41</v>
      </c>
      <c r="G58" s="47" t="s">
        <v>39</v>
      </c>
      <c r="H58" s="96">
        <v>0</v>
      </c>
      <c r="I58" s="96">
        <f t="shared" si="1"/>
        <v>0</v>
      </c>
    </row>
    <row r="59" spans="4:9" x14ac:dyDescent="0.2">
      <c r="D59" s="101">
        <v>40969</v>
      </c>
      <c r="E59" s="120" t="s">
        <v>152</v>
      </c>
      <c r="F59" s="46" t="s">
        <v>120</v>
      </c>
      <c r="G59" s="47" t="s">
        <v>120</v>
      </c>
      <c r="H59" s="96">
        <v>769.58</v>
      </c>
      <c r="I59" s="96">
        <f t="shared" si="1"/>
        <v>-769.58</v>
      </c>
    </row>
    <row r="60" spans="4:9" x14ac:dyDescent="0.2">
      <c r="D60" s="101">
        <v>40969</v>
      </c>
      <c r="E60" s="120" t="s">
        <v>152</v>
      </c>
      <c r="F60" s="46" t="s">
        <v>10</v>
      </c>
      <c r="G60" s="47" t="s">
        <v>77</v>
      </c>
      <c r="H60" s="96">
        <v>1878.0900000000001</v>
      </c>
      <c r="I60" s="96">
        <f t="shared" si="1"/>
        <v>-1878.0900000000001</v>
      </c>
    </row>
    <row r="61" spans="4:9" x14ac:dyDescent="0.2">
      <c r="D61" s="101">
        <v>40969</v>
      </c>
      <c r="E61" s="120" t="s">
        <v>152</v>
      </c>
      <c r="F61" s="46" t="s">
        <v>10</v>
      </c>
      <c r="G61" s="47" t="s">
        <v>122</v>
      </c>
      <c r="H61" s="96">
        <v>253.27</v>
      </c>
      <c r="I61" s="96">
        <f t="shared" si="1"/>
        <v>-253.27</v>
      </c>
    </row>
    <row r="62" spans="4:9" x14ac:dyDescent="0.2">
      <c r="D62" s="101">
        <v>40969</v>
      </c>
      <c r="E62" s="120" t="s">
        <v>152</v>
      </c>
      <c r="F62" s="46" t="s">
        <v>10</v>
      </c>
      <c r="G62" s="47" t="s">
        <v>78</v>
      </c>
      <c r="H62" s="96">
        <v>6835.4699999999993</v>
      </c>
      <c r="I62" s="96">
        <f t="shared" si="1"/>
        <v>-6835.4699999999993</v>
      </c>
    </row>
    <row r="63" spans="4:9" x14ac:dyDescent="0.2">
      <c r="D63" s="101">
        <v>40969</v>
      </c>
      <c r="E63" s="120" t="s">
        <v>152</v>
      </c>
      <c r="F63" s="46" t="s">
        <v>10</v>
      </c>
      <c r="G63" s="47" t="s">
        <v>121</v>
      </c>
      <c r="H63" s="96">
        <v>439.76</v>
      </c>
      <c r="I63" s="96">
        <f t="shared" si="1"/>
        <v>-439.76</v>
      </c>
    </row>
    <row r="64" spans="4:9" x14ac:dyDescent="0.2">
      <c r="D64" s="101">
        <v>40969</v>
      </c>
      <c r="E64" s="120" t="s">
        <v>152</v>
      </c>
      <c r="F64" s="46" t="s">
        <v>40</v>
      </c>
      <c r="G64" s="47" t="s">
        <v>81</v>
      </c>
      <c r="H64" s="96">
        <v>89</v>
      </c>
      <c r="I64" s="96">
        <f t="shared" si="1"/>
        <v>-89</v>
      </c>
    </row>
    <row r="65" spans="4:9" x14ac:dyDescent="0.2">
      <c r="D65" s="101">
        <v>41000</v>
      </c>
      <c r="E65" s="119" t="s">
        <v>151</v>
      </c>
      <c r="F65" s="46" t="s">
        <v>128</v>
      </c>
      <c r="G65" s="47" t="s">
        <v>128</v>
      </c>
      <c r="H65" s="96">
        <f>11450+2772.09</f>
        <v>14222.09</v>
      </c>
      <c r="I65" s="96">
        <f t="shared" si="1"/>
        <v>14222.09</v>
      </c>
    </row>
    <row r="66" spans="4:9" x14ac:dyDescent="0.2">
      <c r="D66" s="101">
        <v>41000</v>
      </c>
      <c r="E66" s="119" t="s">
        <v>151</v>
      </c>
      <c r="F66" s="46" t="s">
        <v>129</v>
      </c>
      <c r="G66" s="47" t="s">
        <v>129</v>
      </c>
      <c r="H66" s="96">
        <f>8509.06+2772.09</f>
        <v>11281.15</v>
      </c>
      <c r="I66" s="96">
        <f t="shared" si="1"/>
        <v>11281.15</v>
      </c>
    </row>
    <row r="67" spans="4:9" x14ac:dyDescent="0.2">
      <c r="D67" s="101">
        <v>41000</v>
      </c>
      <c r="E67" s="120" t="s">
        <v>152</v>
      </c>
      <c r="F67" s="46" t="s">
        <v>38</v>
      </c>
      <c r="G67" s="47" t="s">
        <v>23</v>
      </c>
      <c r="H67" s="96">
        <f>H65*10%</f>
        <v>1422.2090000000001</v>
      </c>
      <c r="I67" s="96">
        <f t="shared" si="1"/>
        <v>-1422.2090000000001</v>
      </c>
    </row>
    <row r="68" spans="4:9" x14ac:dyDescent="0.2">
      <c r="D68" s="101">
        <v>41000</v>
      </c>
      <c r="E68" s="120" t="s">
        <v>152</v>
      </c>
      <c r="F68" s="46" t="s">
        <v>38</v>
      </c>
      <c r="G68" s="47" t="s">
        <v>31</v>
      </c>
      <c r="H68" s="96">
        <v>277</v>
      </c>
      <c r="I68" s="96">
        <f t="shared" si="1"/>
        <v>-277</v>
      </c>
    </row>
    <row r="69" spans="4:9" x14ac:dyDescent="0.2">
      <c r="D69" s="101">
        <v>41000</v>
      </c>
      <c r="E69" s="120" t="s">
        <v>152</v>
      </c>
      <c r="F69" s="46" t="s">
        <v>38</v>
      </c>
      <c r="G69" s="47" t="s">
        <v>8</v>
      </c>
      <c r="H69" s="96">
        <v>100</v>
      </c>
      <c r="I69" s="96">
        <f t="shared" si="1"/>
        <v>-100</v>
      </c>
    </row>
    <row r="70" spans="4:9" x14ac:dyDescent="0.2">
      <c r="D70" s="101">
        <v>41000</v>
      </c>
      <c r="E70" s="120" t="s">
        <v>152</v>
      </c>
      <c r="F70" s="46" t="s">
        <v>38</v>
      </c>
      <c r="G70" s="47" t="s">
        <v>9</v>
      </c>
      <c r="H70" s="96">
        <v>78.81</v>
      </c>
      <c r="I70" s="96">
        <f t="shared" si="1"/>
        <v>-78.81</v>
      </c>
    </row>
    <row r="71" spans="4:9" x14ac:dyDescent="0.2">
      <c r="D71" s="101">
        <v>41000</v>
      </c>
      <c r="E71" s="120" t="s">
        <v>152</v>
      </c>
      <c r="F71" s="46" t="s">
        <v>38</v>
      </c>
      <c r="G71" s="47" t="s">
        <v>36</v>
      </c>
      <c r="H71" s="96">
        <v>35</v>
      </c>
      <c r="I71" s="96">
        <f t="shared" si="1"/>
        <v>-35</v>
      </c>
    </row>
    <row r="72" spans="4:9" x14ac:dyDescent="0.2">
      <c r="D72" s="101">
        <v>41000</v>
      </c>
      <c r="E72" s="120" t="s">
        <v>152</v>
      </c>
      <c r="F72" s="46" t="s">
        <v>38</v>
      </c>
      <c r="G72" s="47" t="s">
        <v>85</v>
      </c>
      <c r="H72" s="96">
        <v>111.76</v>
      </c>
      <c r="I72" s="96">
        <f t="shared" si="1"/>
        <v>-111.76</v>
      </c>
    </row>
    <row r="73" spans="4:9" x14ac:dyDescent="0.2">
      <c r="D73" s="101">
        <v>41000</v>
      </c>
      <c r="E73" s="120" t="s">
        <v>152</v>
      </c>
      <c r="F73" s="46" t="s">
        <v>123</v>
      </c>
      <c r="G73" s="47" t="s">
        <v>123</v>
      </c>
      <c r="H73" s="96">
        <f>1110+5350</f>
        <v>6460</v>
      </c>
      <c r="I73" s="96">
        <f t="shared" si="1"/>
        <v>-6460</v>
      </c>
    </row>
    <row r="74" spans="4:9" x14ac:dyDescent="0.2">
      <c r="D74" s="101">
        <v>41000</v>
      </c>
      <c r="E74" s="120" t="s">
        <v>152</v>
      </c>
      <c r="F74" s="46" t="s">
        <v>41</v>
      </c>
      <c r="G74" s="47" t="s">
        <v>42</v>
      </c>
      <c r="H74" s="96">
        <v>0</v>
      </c>
      <c r="I74" s="96">
        <f t="shared" si="1"/>
        <v>0</v>
      </c>
    </row>
    <row r="75" spans="4:9" x14ac:dyDescent="0.2">
      <c r="D75" s="101">
        <v>41000</v>
      </c>
      <c r="E75" s="120" t="s">
        <v>152</v>
      </c>
      <c r="F75" s="46" t="s">
        <v>41</v>
      </c>
      <c r="G75" s="47" t="s">
        <v>26</v>
      </c>
      <c r="H75" s="96">
        <v>100</v>
      </c>
      <c r="I75" s="96">
        <f t="shared" si="1"/>
        <v>-100</v>
      </c>
    </row>
    <row r="76" spans="4:9" x14ac:dyDescent="0.2">
      <c r="D76" s="101">
        <v>41000</v>
      </c>
      <c r="E76" s="120" t="s">
        <v>152</v>
      </c>
      <c r="F76" s="46" t="s">
        <v>41</v>
      </c>
      <c r="G76" s="47" t="s">
        <v>27</v>
      </c>
      <c r="H76" s="96">
        <v>100</v>
      </c>
      <c r="I76" s="96">
        <f t="shared" ref="I76:I139" si="3">IF(E76="Crédito",H76,H76*-1)</f>
        <v>-100</v>
      </c>
    </row>
    <row r="77" spans="4:9" x14ac:dyDescent="0.2">
      <c r="D77" s="101">
        <v>41000</v>
      </c>
      <c r="E77" s="120" t="s">
        <v>152</v>
      </c>
      <c r="F77" s="46" t="s">
        <v>41</v>
      </c>
      <c r="G77" s="47" t="s">
        <v>39</v>
      </c>
      <c r="H77" s="96">
        <v>0</v>
      </c>
      <c r="I77" s="96">
        <f t="shared" si="3"/>
        <v>0</v>
      </c>
    </row>
    <row r="78" spans="4:9" x14ac:dyDescent="0.2">
      <c r="D78" s="101">
        <v>41000</v>
      </c>
      <c r="E78" s="120" t="s">
        <v>152</v>
      </c>
      <c r="F78" s="46" t="s">
        <v>10</v>
      </c>
      <c r="G78" s="47" t="s">
        <v>77</v>
      </c>
      <c r="H78" s="96">
        <v>1215</v>
      </c>
      <c r="I78" s="96">
        <f t="shared" si="3"/>
        <v>-1215</v>
      </c>
    </row>
    <row r="79" spans="4:9" x14ac:dyDescent="0.2">
      <c r="D79" s="101">
        <v>41000</v>
      </c>
      <c r="E79" s="120" t="s">
        <v>152</v>
      </c>
      <c r="F79" s="46" t="s">
        <v>10</v>
      </c>
      <c r="G79" s="47" t="s">
        <v>78</v>
      </c>
      <c r="H79" s="96">
        <v>34.08</v>
      </c>
      <c r="I79" s="96">
        <f t="shared" si="3"/>
        <v>-34.08</v>
      </c>
    </row>
    <row r="80" spans="4:9" x14ac:dyDescent="0.2">
      <c r="D80" s="101">
        <v>41000</v>
      </c>
      <c r="E80" s="120" t="s">
        <v>152</v>
      </c>
      <c r="F80" s="46" t="s">
        <v>40</v>
      </c>
      <c r="G80" s="47" t="s">
        <v>124</v>
      </c>
      <c r="H80" s="96">
        <v>155</v>
      </c>
      <c r="I80" s="96">
        <f t="shared" si="3"/>
        <v>-155</v>
      </c>
    </row>
    <row r="81" spans="4:9" x14ac:dyDescent="0.2">
      <c r="D81" s="101">
        <v>41000</v>
      </c>
      <c r="E81" s="120" t="s">
        <v>152</v>
      </c>
      <c r="F81" s="46" t="s">
        <v>40</v>
      </c>
      <c r="G81" s="47" t="s">
        <v>125</v>
      </c>
      <c r="H81" s="96">
        <v>500</v>
      </c>
      <c r="I81" s="96">
        <f t="shared" si="3"/>
        <v>-500</v>
      </c>
    </row>
    <row r="82" spans="4:9" x14ac:dyDescent="0.2">
      <c r="D82" s="101">
        <v>41000</v>
      </c>
      <c r="E82" s="120" t="s">
        <v>152</v>
      </c>
      <c r="F82" s="46" t="s">
        <v>40</v>
      </c>
      <c r="G82" s="47" t="s">
        <v>74</v>
      </c>
      <c r="H82" s="96">
        <v>320</v>
      </c>
      <c r="I82" s="96">
        <f t="shared" si="3"/>
        <v>-320</v>
      </c>
    </row>
    <row r="83" spans="4:9" x14ac:dyDescent="0.2">
      <c r="D83" s="101">
        <v>41030</v>
      </c>
      <c r="E83" s="119" t="s">
        <v>151</v>
      </c>
      <c r="F83" s="46" t="s">
        <v>128</v>
      </c>
      <c r="G83" s="47" t="s">
        <v>128</v>
      </c>
      <c r="H83" s="96">
        <v>4880</v>
      </c>
      <c r="I83" s="96">
        <f t="shared" si="3"/>
        <v>4880</v>
      </c>
    </row>
    <row r="84" spans="4:9" x14ac:dyDescent="0.2">
      <c r="D84" s="101">
        <v>41030</v>
      </c>
      <c r="E84" s="119" t="s">
        <v>151</v>
      </c>
      <c r="F84" s="46" t="s">
        <v>129</v>
      </c>
      <c r="G84" s="47" t="s">
        <v>129</v>
      </c>
      <c r="H84" s="96">
        <v>2900</v>
      </c>
      <c r="I84" s="96">
        <f t="shared" si="3"/>
        <v>2900</v>
      </c>
    </row>
    <row r="85" spans="4:9" x14ac:dyDescent="0.2">
      <c r="D85" s="101">
        <v>41030</v>
      </c>
      <c r="E85" s="120" t="s">
        <v>152</v>
      </c>
      <c r="F85" s="46" t="s">
        <v>38</v>
      </c>
      <c r="G85" s="47" t="s">
        <v>23</v>
      </c>
      <c r="H85" s="96">
        <f>H83*10%</f>
        <v>488</v>
      </c>
      <c r="I85" s="96">
        <f t="shared" si="3"/>
        <v>-488</v>
      </c>
    </row>
    <row r="86" spans="4:9" x14ac:dyDescent="0.2">
      <c r="D86" s="101">
        <v>41030</v>
      </c>
      <c r="E86" s="120" t="s">
        <v>152</v>
      </c>
      <c r="F86" s="46" t="s">
        <v>38</v>
      </c>
      <c r="G86" s="47" t="s">
        <v>31</v>
      </c>
      <c r="H86" s="96">
        <f>Maio!E8</f>
        <v>0</v>
      </c>
      <c r="I86" s="96">
        <f t="shared" si="3"/>
        <v>0</v>
      </c>
    </row>
    <row r="87" spans="4:9" x14ac:dyDescent="0.2">
      <c r="D87" s="101">
        <v>41030</v>
      </c>
      <c r="E87" s="120" t="s">
        <v>152</v>
      </c>
      <c r="F87" s="46" t="s">
        <v>38</v>
      </c>
      <c r="G87" s="47" t="s">
        <v>8</v>
      </c>
      <c r="H87" s="96">
        <f>Maio!E9</f>
        <v>0</v>
      </c>
      <c r="I87" s="96">
        <f t="shared" si="3"/>
        <v>0</v>
      </c>
    </row>
    <row r="88" spans="4:9" x14ac:dyDescent="0.2">
      <c r="D88" s="101">
        <v>41030</v>
      </c>
      <c r="E88" s="120" t="s">
        <v>152</v>
      </c>
      <c r="F88" s="46" t="s">
        <v>38</v>
      </c>
      <c r="G88" s="47" t="s">
        <v>9</v>
      </c>
      <c r="H88" s="96">
        <f>Maio!E10</f>
        <v>0</v>
      </c>
      <c r="I88" s="96">
        <f t="shared" si="3"/>
        <v>0</v>
      </c>
    </row>
    <row r="89" spans="4:9" x14ac:dyDescent="0.2">
      <c r="D89" s="101">
        <v>41030</v>
      </c>
      <c r="E89" s="120" t="s">
        <v>152</v>
      </c>
      <c r="F89" s="46" t="s">
        <v>38</v>
      </c>
      <c r="G89" s="47" t="s">
        <v>85</v>
      </c>
      <c r="H89" s="96">
        <f>Maio!E11</f>
        <v>0</v>
      </c>
      <c r="I89" s="96">
        <f t="shared" si="3"/>
        <v>0</v>
      </c>
    </row>
    <row r="90" spans="4:9" x14ac:dyDescent="0.2">
      <c r="D90" s="101">
        <v>41030</v>
      </c>
      <c r="E90" s="120" t="s">
        <v>152</v>
      </c>
      <c r="F90" s="46" t="s">
        <v>38</v>
      </c>
      <c r="G90" s="47" t="s">
        <v>130</v>
      </c>
      <c r="H90" s="96" t="str">
        <f>Maio!E12</f>
        <v>Porcentagem</v>
      </c>
      <c r="I90" s="96" t="e">
        <f t="shared" si="3"/>
        <v>#VALUE!</v>
      </c>
    </row>
    <row r="91" spans="4:9" x14ac:dyDescent="0.2">
      <c r="D91" s="101">
        <v>41030</v>
      </c>
      <c r="E91" s="120" t="s">
        <v>152</v>
      </c>
      <c r="F91" s="46" t="s">
        <v>123</v>
      </c>
      <c r="G91" s="47" t="s">
        <v>123</v>
      </c>
      <c r="H91" s="96">
        <f>Maio!E13</f>
        <v>0</v>
      </c>
      <c r="I91" s="96">
        <f t="shared" si="3"/>
        <v>0</v>
      </c>
    </row>
    <row r="92" spans="4:9" x14ac:dyDescent="0.2">
      <c r="D92" s="101">
        <v>41030</v>
      </c>
      <c r="E92" s="120" t="s">
        <v>152</v>
      </c>
      <c r="F92" s="46" t="s">
        <v>41</v>
      </c>
      <c r="G92" s="47" t="s">
        <v>42</v>
      </c>
      <c r="H92" s="96">
        <v>0</v>
      </c>
      <c r="I92" s="96">
        <f t="shared" si="3"/>
        <v>0</v>
      </c>
    </row>
    <row r="93" spans="4:9" x14ac:dyDescent="0.2">
      <c r="D93" s="101">
        <v>41030</v>
      </c>
      <c r="E93" s="120" t="s">
        <v>152</v>
      </c>
      <c r="F93" s="46" t="s">
        <v>41</v>
      </c>
      <c r="G93" s="47" t="s">
        <v>26</v>
      </c>
      <c r="H93" s="96">
        <v>100</v>
      </c>
      <c r="I93" s="96">
        <f t="shared" si="3"/>
        <v>-100</v>
      </c>
    </row>
    <row r="94" spans="4:9" x14ac:dyDescent="0.2">
      <c r="D94" s="101">
        <v>41030</v>
      </c>
      <c r="E94" s="120" t="s">
        <v>152</v>
      </c>
      <c r="F94" s="46" t="s">
        <v>41</v>
      </c>
      <c r="G94" s="47" t="s">
        <v>27</v>
      </c>
      <c r="H94" s="96">
        <v>100</v>
      </c>
      <c r="I94" s="96">
        <f t="shared" si="3"/>
        <v>-100</v>
      </c>
    </row>
    <row r="95" spans="4:9" x14ac:dyDescent="0.2">
      <c r="D95" s="101">
        <v>41030</v>
      </c>
      <c r="E95" s="120" t="s">
        <v>152</v>
      </c>
      <c r="F95" s="46" t="s">
        <v>10</v>
      </c>
      <c r="G95" s="47" t="s">
        <v>77</v>
      </c>
      <c r="H95" s="96">
        <f>Maio!E21</f>
        <v>0</v>
      </c>
      <c r="I95" s="96">
        <f t="shared" si="3"/>
        <v>0</v>
      </c>
    </row>
    <row r="96" spans="4:9" x14ac:dyDescent="0.2">
      <c r="D96" s="101">
        <v>41030</v>
      </c>
      <c r="E96" s="120" t="s">
        <v>152</v>
      </c>
      <c r="F96" s="46" t="s">
        <v>10</v>
      </c>
      <c r="G96" s="47" t="s">
        <v>78</v>
      </c>
      <c r="H96" s="96">
        <f>Maio!E22</f>
        <v>0</v>
      </c>
      <c r="I96" s="96">
        <f t="shared" si="3"/>
        <v>0</v>
      </c>
    </row>
    <row r="97" spans="4:9" x14ac:dyDescent="0.2">
      <c r="D97" s="101">
        <v>41030</v>
      </c>
      <c r="E97" s="120" t="s">
        <v>152</v>
      </c>
      <c r="F97" s="46" t="s">
        <v>40</v>
      </c>
      <c r="G97" s="47" t="s">
        <v>127</v>
      </c>
      <c r="H97" s="96">
        <f>Maio!E23</f>
        <v>0</v>
      </c>
      <c r="I97" s="96">
        <f t="shared" si="3"/>
        <v>0</v>
      </c>
    </row>
    <row r="98" spans="4:9" x14ac:dyDescent="0.2">
      <c r="D98" s="101">
        <v>41061</v>
      </c>
      <c r="E98" s="119" t="s">
        <v>151</v>
      </c>
      <c r="F98" s="46" t="s">
        <v>128</v>
      </c>
      <c r="G98" s="47" t="s">
        <v>128</v>
      </c>
      <c r="H98" s="96">
        <f>Junho!C3</f>
        <v>0</v>
      </c>
      <c r="I98" s="96">
        <f t="shared" si="3"/>
        <v>0</v>
      </c>
    </row>
    <row r="99" spans="4:9" x14ac:dyDescent="0.2">
      <c r="D99" s="101">
        <v>41061</v>
      </c>
      <c r="E99" s="119" t="s">
        <v>151</v>
      </c>
      <c r="F99" s="46" t="s">
        <v>129</v>
      </c>
      <c r="G99" s="47" t="s">
        <v>129</v>
      </c>
      <c r="H99" s="96">
        <f>Junho!D3</f>
        <v>0</v>
      </c>
      <c r="I99" s="96">
        <f t="shared" si="3"/>
        <v>0</v>
      </c>
    </row>
    <row r="100" spans="4:9" x14ac:dyDescent="0.2">
      <c r="D100" s="101">
        <v>41061</v>
      </c>
      <c r="E100" s="120" t="s">
        <v>152</v>
      </c>
      <c r="F100" s="46" t="s">
        <v>38</v>
      </c>
      <c r="G100" s="47" t="s">
        <v>23</v>
      </c>
      <c r="H100" s="96">
        <f>H98*10%</f>
        <v>0</v>
      </c>
      <c r="I100" s="96">
        <f t="shared" si="3"/>
        <v>0</v>
      </c>
    </row>
    <row r="101" spans="4:9" x14ac:dyDescent="0.2">
      <c r="D101" s="101">
        <v>41061</v>
      </c>
      <c r="E101" s="120" t="s">
        <v>152</v>
      </c>
      <c r="F101" s="46" t="s">
        <v>38</v>
      </c>
      <c r="G101" s="47" t="s">
        <v>8</v>
      </c>
      <c r="H101" s="96">
        <f>Junho!E8</f>
        <v>0</v>
      </c>
      <c r="I101" s="96">
        <f t="shared" si="3"/>
        <v>0</v>
      </c>
    </row>
    <row r="102" spans="4:9" x14ac:dyDescent="0.2">
      <c r="D102" s="101">
        <v>41061</v>
      </c>
      <c r="E102" s="120" t="s">
        <v>152</v>
      </c>
      <c r="F102" s="46" t="s">
        <v>38</v>
      </c>
      <c r="G102" s="47" t="s">
        <v>9</v>
      </c>
      <c r="H102" s="96">
        <f>Junho!E9</f>
        <v>0</v>
      </c>
      <c r="I102" s="96">
        <f t="shared" si="3"/>
        <v>0</v>
      </c>
    </row>
    <row r="103" spans="4:9" x14ac:dyDescent="0.2">
      <c r="D103" s="101">
        <v>41061</v>
      </c>
      <c r="E103" s="120" t="s">
        <v>152</v>
      </c>
      <c r="F103" s="46" t="s">
        <v>38</v>
      </c>
      <c r="G103" s="47" t="s">
        <v>130</v>
      </c>
      <c r="H103" s="96">
        <f>Junho!E10</f>
        <v>0</v>
      </c>
      <c r="I103" s="96">
        <f t="shared" si="3"/>
        <v>0</v>
      </c>
    </row>
    <row r="104" spans="4:9" x14ac:dyDescent="0.2">
      <c r="D104" s="101">
        <v>41061</v>
      </c>
      <c r="E104" s="120" t="s">
        <v>152</v>
      </c>
      <c r="F104" s="46" t="s">
        <v>38</v>
      </c>
      <c r="G104" s="47" t="s">
        <v>85</v>
      </c>
      <c r="H104" s="96">
        <f>Junho!E11</f>
        <v>0</v>
      </c>
      <c r="I104" s="96">
        <f t="shared" si="3"/>
        <v>0</v>
      </c>
    </row>
    <row r="105" spans="4:9" x14ac:dyDescent="0.2">
      <c r="D105" s="101">
        <v>41061</v>
      </c>
      <c r="E105" s="120" t="s">
        <v>152</v>
      </c>
      <c r="F105" s="46" t="s">
        <v>123</v>
      </c>
      <c r="G105" s="47" t="s">
        <v>123</v>
      </c>
      <c r="H105" s="96" t="str">
        <f>Junho!E12</f>
        <v>Porcentagem</v>
      </c>
      <c r="I105" s="96" t="e">
        <f t="shared" si="3"/>
        <v>#VALUE!</v>
      </c>
    </row>
    <row r="106" spans="4:9" x14ac:dyDescent="0.2">
      <c r="D106" s="101">
        <v>41061</v>
      </c>
      <c r="E106" s="120" t="s">
        <v>152</v>
      </c>
      <c r="F106" s="46" t="s">
        <v>41</v>
      </c>
      <c r="G106" s="47" t="s">
        <v>42</v>
      </c>
      <c r="H106" s="96">
        <f>Junho!E15</f>
        <v>6.25</v>
      </c>
      <c r="I106" s="96">
        <f t="shared" si="3"/>
        <v>-6.25</v>
      </c>
    </row>
    <row r="107" spans="4:9" x14ac:dyDescent="0.2">
      <c r="D107" s="101">
        <v>41061</v>
      </c>
      <c r="E107" s="120" t="s">
        <v>152</v>
      </c>
      <c r="F107" s="46" t="s">
        <v>41</v>
      </c>
      <c r="G107" s="47" t="s">
        <v>26</v>
      </c>
      <c r="H107" s="96">
        <f>Junho!E16</f>
        <v>25</v>
      </c>
      <c r="I107" s="96">
        <f t="shared" si="3"/>
        <v>-25</v>
      </c>
    </row>
    <row r="108" spans="4:9" x14ac:dyDescent="0.2">
      <c r="D108" s="101">
        <v>41061</v>
      </c>
      <c r="E108" s="120" t="s">
        <v>152</v>
      </c>
      <c r="F108" s="46" t="s">
        <v>41</v>
      </c>
      <c r="G108" s="47" t="s">
        <v>27</v>
      </c>
      <c r="H108" s="96">
        <f>Junho!E17</f>
        <v>1.25</v>
      </c>
      <c r="I108" s="96">
        <f t="shared" si="3"/>
        <v>-1.25</v>
      </c>
    </row>
    <row r="109" spans="4:9" x14ac:dyDescent="0.2">
      <c r="D109" s="101">
        <v>41061</v>
      </c>
      <c r="E109" s="120" t="s">
        <v>152</v>
      </c>
      <c r="F109" s="46" t="s">
        <v>126</v>
      </c>
      <c r="G109" s="47" t="s">
        <v>158</v>
      </c>
      <c r="H109" s="96">
        <f>Junho!E18</f>
        <v>6.25</v>
      </c>
      <c r="I109" s="96">
        <f t="shared" si="3"/>
        <v>-6.25</v>
      </c>
    </row>
    <row r="110" spans="4:9" x14ac:dyDescent="0.2">
      <c r="D110" s="101">
        <v>41061</v>
      </c>
      <c r="E110" s="120" t="s">
        <v>152</v>
      </c>
      <c r="F110" s="46" t="s">
        <v>10</v>
      </c>
      <c r="G110" s="47" t="s">
        <v>77</v>
      </c>
      <c r="H110" s="96">
        <f>Junho!E21</f>
        <v>0</v>
      </c>
      <c r="I110" s="96">
        <f t="shared" si="3"/>
        <v>0</v>
      </c>
    </row>
    <row r="111" spans="4:9" x14ac:dyDescent="0.2">
      <c r="D111" s="101">
        <v>41061</v>
      </c>
      <c r="E111" s="120" t="s">
        <v>152</v>
      </c>
      <c r="F111" s="46" t="s">
        <v>10</v>
      </c>
      <c r="G111" s="47" t="s">
        <v>78</v>
      </c>
      <c r="H111" s="96">
        <f>Junho!E22</f>
        <v>0</v>
      </c>
      <c r="I111" s="96">
        <f t="shared" si="3"/>
        <v>0</v>
      </c>
    </row>
    <row r="112" spans="4:9" x14ac:dyDescent="0.2">
      <c r="D112" s="101">
        <v>41061</v>
      </c>
      <c r="E112" s="120" t="s">
        <v>152</v>
      </c>
      <c r="F112" s="46" t="s">
        <v>40</v>
      </c>
      <c r="G112" s="47" t="s">
        <v>11</v>
      </c>
      <c r="H112" s="96">
        <f>Junho!E23</f>
        <v>0</v>
      </c>
      <c r="I112" s="96">
        <f t="shared" si="3"/>
        <v>0</v>
      </c>
    </row>
    <row r="113" spans="4:9" x14ac:dyDescent="0.2">
      <c r="D113" s="101">
        <v>41091</v>
      </c>
      <c r="E113" s="119" t="s">
        <v>151</v>
      </c>
      <c r="F113" s="46" t="s">
        <v>128</v>
      </c>
      <c r="G113" s="47" t="s">
        <v>128</v>
      </c>
      <c r="H113" s="96">
        <f>Julho!C$3</f>
        <v>0</v>
      </c>
      <c r="I113" s="96">
        <f t="shared" si="3"/>
        <v>0</v>
      </c>
    </row>
    <row r="114" spans="4:9" x14ac:dyDescent="0.2">
      <c r="D114" s="101">
        <v>41091</v>
      </c>
      <c r="E114" s="119" t="s">
        <v>151</v>
      </c>
      <c r="F114" s="46" t="s">
        <v>129</v>
      </c>
      <c r="G114" s="47" t="s">
        <v>129</v>
      </c>
      <c r="H114" s="96">
        <f>Julho!D$3</f>
        <v>0</v>
      </c>
      <c r="I114" s="96">
        <f t="shared" si="3"/>
        <v>0</v>
      </c>
    </row>
    <row r="115" spans="4:9" x14ac:dyDescent="0.2">
      <c r="D115" s="101">
        <v>41091</v>
      </c>
      <c r="E115" s="120" t="s">
        <v>152</v>
      </c>
      <c r="F115" s="46" t="s">
        <v>38</v>
      </c>
      <c r="G115" s="47" t="s">
        <v>23</v>
      </c>
      <c r="H115" s="96">
        <f>H113*10%</f>
        <v>0</v>
      </c>
      <c r="I115" s="96">
        <f t="shared" si="3"/>
        <v>0</v>
      </c>
    </row>
    <row r="116" spans="4:9" x14ac:dyDescent="0.2">
      <c r="D116" s="101">
        <v>41091</v>
      </c>
      <c r="E116" s="120" t="s">
        <v>152</v>
      </c>
      <c r="F116" s="46" t="s">
        <v>38</v>
      </c>
      <c r="G116" s="47" t="s">
        <v>31</v>
      </c>
      <c r="H116" s="96">
        <f>Julho!E8</f>
        <v>0</v>
      </c>
      <c r="I116" s="96">
        <f t="shared" si="3"/>
        <v>0</v>
      </c>
    </row>
    <row r="117" spans="4:9" x14ac:dyDescent="0.2">
      <c r="D117" s="101">
        <v>41091</v>
      </c>
      <c r="E117" s="120" t="s">
        <v>152</v>
      </c>
      <c r="F117" s="46" t="s">
        <v>38</v>
      </c>
      <c r="G117" s="47" t="s">
        <v>8</v>
      </c>
      <c r="H117" s="96">
        <f>Julho!E9</f>
        <v>0</v>
      </c>
      <c r="I117" s="96">
        <f t="shared" si="3"/>
        <v>0</v>
      </c>
    </row>
    <row r="118" spans="4:9" x14ac:dyDescent="0.2">
      <c r="D118" s="101">
        <v>41091</v>
      </c>
      <c r="E118" s="120" t="s">
        <v>152</v>
      </c>
      <c r="F118" s="46" t="s">
        <v>38</v>
      </c>
      <c r="G118" s="47" t="s">
        <v>9</v>
      </c>
      <c r="H118" s="96">
        <f>Julho!E10</f>
        <v>0</v>
      </c>
      <c r="I118" s="96">
        <f t="shared" si="3"/>
        <v>0</v>
      </c>
    </row>
    <row r="119" spans="4:9" x14ac:dyDescent="0.2">
      <c r="D119" s="101">
        <v>41091</v>
      </c>
      <c r="E119" s="120" t="s">
        <v>152</v>
      </c>
      <c r="F119" s="46" t="s">
        <v>38</v>
      </c>
      <c r="G119" s="47" t="s">
        <v>130</v>
      </c>
      <c r="H119" s="96">
        <f>Julho!E11</f>
        <v>0</v>
      </c>
      <c r="I119" s="96">
        <f t="shared" si="3"/>
        <v>0</v>
      </c>
    </row>
    <row r="120" spans="4:9" x14ac:dyDescent="0.2">
      <c r="D120" s="101">
        <v>41091</v>
      </c>
      <c r="E120" s="120" t="s">
        <v>152</v>
      </c>
      <c r="F120" s="46" t="s">
        <v>38</v>
      </c>
      <c r="G120" s="47" t="s">
        <v>85</v>
      </c>
      <c r="H120" s="96" t="str">
        <f>Julho!E12</f>
        <v>Porcentagem</v>
      </c>
      <c r="I120" s="96" t="e">
        <f t="shared" si="3"/>
        <v>#VALUE!</v>
      </c>
    </row>
    <row r="121" spans="4:9" x14ac:dyDescent="0.2">
      <c r="D121" s="101">
        <v>41091</v>
      </c>
      <c r="E121" s="120" t="s">
        <v>152</v>
      </c>
      <c r="F121" s="46" t="s">
        <v>123</v>
      </c>
      <c r="G121" s="47" t="s">
        <v>123</v>
      </c>
      <c r="H121" s="96">
        <f>Julho!E13</f>
        <v>0</v>
      </c>
      <c r="I121" s="96">
        <f t="shared" si="3"/>
        <v>0</v>
      </c>
    </row>
    <row r="122" spans="4:9" x14ac:dyDescent="0.2">
      <c r="D122" s="101">
        <v>41091</v>
      </c>
      <c r="E122" s="120" t="s">
        <v>152</v>
      </c>
      <c r="F122" s="46" t="s">
        <v>41</v>
      </c>
      <c r="G122" s="47" t="s">
        <v>42</v>
      </c>
      <c r="H122" s="96">
        <f>Julho!E16</f>
        <v>25</v>
      </c>
      <c r="I122" s="96">
        <f t="shared" si="3"/>
        <v>-25</v>
      </c>
    </row>
    <row r="123" spans="4:9" x14ac:dyDescent="0.2">
      <c r="D123" s="101">
        <v>41091</v>
      </c>
      <c r="E123" s="120" t="s">
        <v>152</v>
      </c>
      <c r="F123" s="46" t="s">
        <v>41</v>
      </c>
      <c r="G123" s="47" t="s">
        <v>26</v>
      </c>
      <c r="H123" s="96">
        <f>Julho!E17</f>
        <v>1.25</v>
      </c>
      <c r="I123" s="96">
        <f t="shared" si="3"/>
        <v>-1.25</v>
      </c>
    </row>
    <row r="124" spans="4:9" x14ac:dyDescent="0.2">
      <c r="D124" s="101">
        <v>41091</v>
      </c>
      <c r="E124" s="120" t="s">
        <v>152</v>
      </c>
      <c r="F124" s="46" t="s">
        <v>41</v>
      </c>
      <c r="G124" s="47" t="s">
        <v>27</v>
      </c>
      <c r="H124" s="96">
        <f>Julho!E18</f>
        <v>6.25</v>
      </c>
      <c r="I124" s="96">
        <f t="shared" si="3"/>
        <v>-6.25</v>
      </c>
    </row>
    <row r="125" spans="4:9" x14ac:dyDescent="0.2">
      <c r="D125" s="101">
        <v>41091</v>
      </c>
      <c r="E125" s="120" t="s">
        <v>152</v>
      </c>
      <c r="F125" s="46" t="s">
        <v>126</v>
      </c>
      <c r="G125" s="47" t="s">
        <v>158</v>
      </c>
      <c r="H125" s="96">
        <f>Julho!E19</f>
        <v>8.75</v>
      </c>
      <c r="I125" s="96">
        <f t="shared" si="3"/>
        <v>-8.75</v>
      </c>
    </row>
    <row r="126" spans="4:9" x14ac:dyDescent="0.2">
      <c r="D126" s="101">
        <v>41091</v>
      </c>
      <c r="E126" s="120" t="s">
        <v>152</v>
      </c>
      <c r="F126" s="46" t="s">
        <v>10</v>
      </c>
      <c r="G126" s="47" t="s">
        <v>77</v>
      </c>
      <c r="H126" s="96">
        <f>Julho!E22</f>
        <v>0</v>
      </c>
      <c r="I126" s="96">
        <f t="shared" si="3"/>
        <v>0</v>
      </c>
    </row>
    <row r="127" spans="4:9" x14ac:dyDescent="0.2">
      <c r="D127" s="101">
        <v>41091</v>
      </c>
      <c r="E127" s="120" t="s">
        <v>152</v>
      </c>
      <c r="F127" s="46" t="s">
        <v>10</v>
      </c>
      <c r="G127" s="47" t="s">
        <v>78</v>
      </c>
      <c r="H127" s="96">
        <f>Julho!E23</f>
        <v>0</v>
      </c>
      <c r="I127" s="96">
        <f t="shared" si="3"/>
        <v>0</v>
      </c>
    </row>
    <row r="128" spans="4:9" x14ac:dyDescent="0.2">
      <c r="D128" s="101">
        <v>41091</v>
      </c>
      <c r="E128" s="120" t="s">
        <v>152</v>
      </c>
      <c r="F128" s="46" t="s">
        <v>40</v>
      </c>
      <c r="G128" s="47" t="s">
        <v>11</v>
      </c>
      <c r="H128" s="96">
        <f>Julho!E24</f>
        <v>0</v>
      </c>
      <c r="I128" s="96">
        <f t="shared" si="3"/>
        <v>0</v>
      </c>
    </row>
    <row r="129" spans="4:9" x14ac:dyDescent="0.2">
      <c r="D129" s="101">
        <v>41122</v>
      </c>
      <c r="E129" s="119" t="s">
        <v>151</v>
      </c>
      <c r="F129" s="46" t="s">
        <v>128</v>
      </c>
      <c r="G129" s="47" t="s">
        <v>128</v>
      </c>
      <c r="H129" s="96">
        <f>Agosto!C3</f>
        <v>0</v>
      </c>
      <c r="I129" s="96">
        <f t="shared" si="3"/>
        <v>0</v>
      </c>
    </row>
    <row r="130" spans="4:9" x14ac:dyDescent="0.2">
      <c r="D130" s="101">
        <v>41122</v>
      </c>
      <c r="E130" s="119" t="s">
        <v>151</v>
      </c>
      <c r="F130" s="46" t="s">
        <v>129</v>
      </c>
      <c r="G130" s="47" t="s">
        <v>129</v>
      </c>
      <c r="H130" s="96">
        <f>Agosto!D3</f>
        <v>0</v>
      </c>
      <c r="I130" s="96">
        <f t="shared" si="3"/>
        <v>0</v>
      </c>
    </row>
    <row r="131" spans="4:9" x14ac:dyDescent="0.2">
      <c r="D131" s="101">
        <v>41122</v>
      </c>
      <c r="E131" s="120" t="s">
        <v>152</v>
      </c>
      <c r="F131" s="46" t="s">
        <v>38</v>
      </c>
      <c r="G131" s="47" t="s">
        <v>23</v>
      </c>
      <c r="H131" s="96">
        <f>H129*10%</f>
        <v>0</v>
      </c>
      <c r="I131" s="96">
        <f t="shared" si="3"/>
        <v>0</v>
      </c>
    </row>
    <row r="132" spans="4:9" x14ac:dyDescent="0.2">
      <c r="D132" s="101">
        <v>41122</v>
      </c>
      <c r="E132" s="120" t="s">
        <v>152</v>
      </c>
      <c r="F132" s="46" t="s">
        <v>38</v>
      </c>
      <c r="G132" s="47" t="s">
        <v>31</v>
      </c>
      <c r="H132" s="96">
        <f>Agosto!E8</f>
        <v>0</v>
      </c>
      <c r="I132" s="96">
        <f t="shared" si="3"/>
        <v>0</v>
      </c>
    </row>
    <row r="133" spans="4:9" x14ac:dyDescent="0.2">
      <c r="D133" s="101">
        <v>41122</v>
      </c>
      <c r="E133" s="120" t="s">
        <v>152</v>
      </c>
      <c r="F133" s="46" t="s">
        <v>38</v>
      </c>
      <c r="G133" s="47" t="s">
        <v>8</v>
      </c>
      <c r="H133" s="96">
        <f>Agosto!E9</f>
        <v>0</v>
      </c>
      <c r="I133" s="96">
        <f t="shared" si="3"/>
        <v>0</v>
      </c>
    </row>
    <row r="134" spans="4:9" x14ac:dyDescent="0.2">
      <c r="D134" s="101">
        <v>41122</v>
      </c>
      <c r="E134" s="120" t="s">
        <v>152</v>
      </c>
      <c r="F134" s="46" t="s">
        <v>38</v>
      </c>
      <c r="G134" s="47" t="s">
        <v>9</v>
      </c>
      <c r="H134" s="96">
        <f>Agosto!E10</f>
        <v>0</v>
      </c>
      <c r="I134" s="96">
        <f t="shared" si="3"/>
        <v>0</v>
      </c>
    </row>
    <row r="135" spans="4:9" x14ac:dyDescent="0.2">
      <c r="D135" s="101">
        <v>41122</v>
      </c>
      <c r="E135" s="120" t="s">
        <v>152</v>
      </c>
      <c r="F135" s="46" t="s">
        <v>38</v>
      </c>
      <c r="G135" s="47" t="s">
        <v>130</v>
      </c>
      <c r="H135" s="96">
        <f>Agosto!E11</f>
        <v>0</v>
      </c>
      <c r="I135" s="96">
        <f t="shared" si="3"/>
        <v>0</v>
      </c>
    </row>
    <row r="136" spans="4:9" x14ac:dyDescent="0.2">
      <c r="D136" s="101">
        <v>41122</v>
      </c>
      <c r="E136" s="120" t="s">
        <v>152</v>
      </c>
      <c r="F136" s="46" t="s">
        <v>38</v>
      </c>
      <c r="G136" s="47" t="s">
        <v>85</v>
      </c>
      <c r="H136" s="96" t="str">
        <f>Agosto!E12</f>
        <v>Porcentagem</v>
      </c>
      <c r="I136" s="96" t="e">
        <f t="shared" si="3"/>
        <v>#VALUE!</v>
      </c>
    </row>
    <row r="137" spans="4:9" x14ac:dyDescent="0.2">
      <c r="D137" s="101">
        <v>41122</v>
      </c>
      <c r="E137" s="120" t="s">
        <v>152</v>
      </c>
      <c r="F137" s="46" t="s">
        <v>123</v>
      </c>
      <c r="G137" s="47" t="s">
        <v>123</v>
      </c>
      <c r="H137" s="96">
        <f>Agosto!E13</f>
        <v>0</v>
      </c>
      <c r="I137" s="96">
        <f t="shared" si="3"/>
        <v>0</v>
      </c>
    </row>
    <row r="138" spans="4:9" x14ac:dyDescent="0.2">
      <c r="D138" s="101">
        <v>41122</v>
      </c>
      <c r="E138" s="120" t="s">
        <v>152</v>
      </c>
      <c r="F138" s="46" t="s">
        <v>41</v>
      </c>
      <c r="G138" s="47" t="s">
        <v>42</v>
      </c>
      <c r="H138" s="96">
        <f>Agosto!E16</f>
        <v>25</v>
      </c>
      <c r="I138" s="96">
        <f t="shared" si="3"/>
        <v>-25</v>
      </c>
    </row>
    <row r="139" spans="4:9" x14ac:dyDescent="0.2">
      <c r="D139" s="101">
        <v>41122</v>
      </c>
      <c r="E139" s="120" t="s">
        <v>152</v>
      </c>
      <c r="F139" s="46" t="s">
        <v>41</v>
      </c>
      <c r="G139" s="47" t="s">
        <v>26</v>
      </c>
      <c r="H139" s="96">
        <f>Agosto!E17</f>
        <v>1.25</v>
      </c>
      <c r="I139" s="96">
        <f t="shared" si="3"/>
        <v>-1.25</v>
      </c>
    </row>
    <row r="140" spans="4:9" x14ac:dyDescent="0.2">
      <c r="D140" s="101">
        <v>41122</v>
      </c>
      <c r="E140" s="120" t="s">
        <v>152</v>
      </c>
      <c r="F140" s="46" t="s">
        <v>41</v>
      </c>
      <c r="G140" s="47" t="s">
        <v>27</v>
      </c>
      <c r="H140" s="96">
        <f>Agosto!E18</f>
        <v>6.25</v>
      </c>
      <c r="I140" s="96">
        <f t="shared" ref="I140:I200" si="4">IF(E140="Crédito",H140,H140*-1)</f>
        <v>-6.25</v>
      </c>
    </row>
    <row r="141" spans="4:9" x14ac:dyDescent="0.2">
      <c r="D141" s="101">
        <v>41122</v>
      </c>
      <c r="E141" s="120" t="s">
        <v>152</v>
      </c>
      <c r="F141" s="46" t="s">
        <v>126</v>
      </c>
      <c r="G141" s="47" t="s">
        <v>158</v>
      </c>
      <c r="H141" s="96">
        <f>Agosto!E19</f>
        <v>8.75</v>
      </c>
      <c r="I141" s="96">
        <f t="shared" si="4"/>
        <v>-8.75</v>
      </c>
    </row>
    <row r="142" spans="4:9" x14ac:dyDescent="0.2">
      <c r="D142" s="101">
        <v>41122</v>
      </c>
      <c r="E142" s="120" t="s">
        <v>152</v>
      </c>
      <c r="F142" s="46" t="s">
        <v>10</v>
      </c>
      <c r="G142" s="47" t="s">
        <v>77</v>
      </c>
      <c r="H142" s="96">
        <f>Agosto!E22</f>
        <v>0</v>
      </c>
      <c r="I142" s="96">
        <f t="shared" si="4"/>
        <v>0</v>
      </c>
    </row>
    <row r="143" spans="4:9" x14ac:dyDescent="0.2">
      <c r="D143" s="101">
        <v>41122</v>
      </c>
      <c r="E143" s="120" t="s">
        <v>152</v>
      </c>
      <c r="F143" s="46" t="s">
        <v>10</v>
      </c>
      <c r="G143" s="47" t="s">
        <v>78</v>
      </c>
      <c r="H143" s="96">
        <f>Agosto!E23</f>
        <v>0</v>
      </c>
      <c r="I143" s="96">
        <f t="shared" si="4"/>
        <v>0</v>
      </c>
    </row>
    <row r="144" spans="4:9" x14ac:dyDescent="0.2">
      <c r="D144" s="101">
        <v>41122</v>
      </c>
      <c r="E144" s="120" t="s">
        <v>152</v>
      </c>
      <c r="F144" s="46" t="s">
        <v>40</v>
      </c>
      <c r="G144" s="47">
        <f>Agosto!C24</f>
        <v>0</v>
      </c>
      <c r="H144" s="96">
        <f>Agosto!E24</f>
        <v>0</v>
      </c>
      <c r="I144" s="96">
        <f t="shared" si="4"/>
        <v>0</v>
      </c>
    </row>
    <row r="145" spans="4:9" x14ac:dyDescent="0.2">
      <c r="D145" s="101">
        <v>41153</v>
      </c>
      <c r="E145" s="119" t="s">
        <v>151</v>
      </c>
      <c r="F145" s="46" t="s">
        <v>128</v>
      </c>
      <c r="G145" s="47" t="s">
        <v>128</v>
      </c>
      <c r="H145" s="96">
        <f>Setembro!C3</f>
        <v>0</v>
      </c>
      <c r="I145" s="96">
        <f t="shared" si="4"/>
        <v>0</v>
      </c>
    </row>
    <row r="146" spans="4:9" x14ac:dyDescent="0.2">
      <c r="D146" s="101">
        <v>41153</v>
      </c>
      <c r="E146" s="119" t="s">
        <v>151</v>
      </c>
      <c r="F146" s="46" t="s">
        <v>129</v>
      </c>
      <c r="G146" s="47" t="s">
        <v>129</v>
      </c>
      <c r="H146" s="96">
        <f>Setembro!D3</f>
        <v>0</v>
      </c>
      <c r="I146" s="96">
        <f t="shared" si="4"/>
        <v>0</v>
      </c>
    </row>
    <row r="147" spans="4:9" x14ac:dyDescent="0.2">
      <c r="D147" s="101">
        <v>41153</v>
      </c>
      <c r="E147" s="120" t="s">
        <v>152</v>
      </c>
      <c r="F147" s="46" t="s">
        <v>38</v>
      </c>
      <c r="G147" s="47">
        <f>Setembro!C7</f>
        <v>1000</v>
      </c>
      <c r="H147" s="96">
        <f>H145*10%</f>
        <v>0</v>
      </c>
      <c r="I147" s="96">
        <f t="shared" si="4"/>
        <v>0</v>
      </c>
    </row>
    <row r="148" spans="4:9" x14ac:dyDescent="0.2">
      <c r="D148" s="101">
        <v>41153</v>
      </c>
      <c r="E148" s="120" t="s">
        <v>152</v>
      </c>
      <c r="F148" s="46" t="s">
        <v>38</v>
      </c>
      <c r="G148" s="47">
        <f>Setembro!C8</f>
        <v>1000</v>
      </c>
      <c r="H148" s="96">
        <f>Setembro!E8</f>
        <v>0</v>
      </c>
      <c r="I148" s="96">
        <f t="shared" si="4"/>
        <v>0</v>
      </c>
    </row>
    <row r="149" spans="4:9" x14ac:dyDescent="0.2">
      <c r="D149" s="101">
        <v>41153</v>
      </c>
      <c r="E149" s="120" t="s">
        <v>152</v>
      </c>
      <c r="F149" s="46" t="s">
        <v>38</v>
      </c>
      <c r="G149" s="47">
        <f>Setembro!C9</f>
        <v>3000</v>
      </c>
      <c r="H149" s="96">
        <f>Setembro!E9</f>
        <v>0</v>
      </c>
      <c r="I149" s="96">
        <f t="shared" si="4"/>
        <v>0</v>
      </c>
    </row>
    <row r="150" spans="4:9" x14ac:dyDescent="0.2">
      <c r="D150" s="101">
        <v>41153</v>
      </c>
      <c r="E150" s="120" t="s">
        <v>152</v>
      </c>
      <c r="F150" s="46" t="s">
        <v>38</v>
      </c>
      <c r="G150" s="47">
        <f>Setembro!C10</f>
        <v>0</v>
      </c>
      <c r="H150" s="96">
        <f>Setembro!E10</f>
        <v>0</v>
      </c>
      <c r="I150" s="96">
        <f t="shared" si="4"/>
        <v>0</v>
      </c>
    </row>
    <row r="151" spans="4:9" x14ac:dyDescent="0.2">
      <c r="D151" s="101">
        <v>41153</v>
      </c>
      <c r="E151" s="120" t="s">
        <v>152</v>
      </c>
      <c r="F151" s="46" t="s">
        <v>38</v>
      </c>
      <c r="G151" s="47">
        <f>Setembro!C11</f>
        <v>0</v>
      </c>
      <c r="H151" s="96">
        <f>Setembro!E11</f>
        <v>0</v>
      </c>
      <c r="I151" s="96">
        <f t="shared" si="4"/>
        <v>0</v>
      </c>
    </row>
    <row r="152" spans="4:9" x14ac:dyDescent="0.2">
      <c r="D152" s="101">
        <v>41153</v>
      </c>
      <c r="E152" s="120" t="s">
        <v>152</v>
      </c>
      <c r="F152" s="46" t="s">
        <v>41</v>
      </c>
      <c r="G152" s="47">
        <f>Setembro!C14</f>
        <v>40939</v>
      </c>
      <c r="H152" s="96">
        <f>Setembro!E14</f>
        <v>10</v>
      </c>
      <c r="I152" s="96">
        <f t="shared" si="4"/>
        <v>-10</v>
      </c>
    </row>
    <row r="153" spans="4:9" x14ac:dyDescent="0.2">
      <c r="D153" s="101">
        <v>41153</v>
      </c>
      <c r="E153" s="120" t="s">
        <v>152</v>
      </c>
      <c r="F153" s="46" t="s">
        <v>41</v>
      </c>
      <c r="G153" s="47">
        <f>Setembro!C15</f>
        <v>40939</v>
      </c>
      <c r="H153" s="96">
        <f>Setembro!E15</f>
        <v>6.25</v>
      </c>
      <c r="I153" s="96">
        <f t="shared" si="4"/>
        <v>-6.25</v>
      </c>
    </row>
    <row r="154" spans="4:9" x14ac:dyDescent="0.2">
      <c r="D154" s="101">
        <v>41153</v>
      </c>
      <c r="E154" s="120" t="s">
        <v>152</v>
      </c>
      <c r="F154" s="46" t="s">
        <v>41</v>
      </c>
      <c r="G154" s="47">
        <f>Setembro!C16</f>
        <v>40939</v>
      </c>
      <c r="H154" s="96">
        <f>Setembro!E16</f>
        <v>25</v>
      </c>
      <c r="I154" s="96">
        <f t="shared" si="4"/>
        <v>-25</v>
      </c>
    </row>
    <row r="155" spans="4:9" x14ac:dyDescent="0.2">
      <c r="D155" s="101">
        <v>41153</v>
      </c>
      <c r="E155" s="120" t="s">
        <v>152</v>
      </c>
      <c r="F155" s="46" t="s">
        <v>126</v>
      </c>
      <c r="G155" s="47">
        <f>Setembro!C17</f>
        <v>40939</v>
      </c>
      <c r="H155" s="96">
        <f>Setembro!E17</f>
        <v>1.25</v>
      </c>
      <c r="I155" s="96">
        <f t="shared" si="4"/>
        <v>-1.25</v>
      </c>
    </row>
    <row r="156" spans="4:9" x14ac:dyDescent="0.2">
      <c r="D156" s="101">
        <v>41153</v>
      </c>
      <c r="E156" s="120" t="s">
        <v>152</v>
      </c>
      <c r="F156" s="46" t="s">
        <v>10</v>
      </c>
      <c r="G156" s="47">
        <f>Setembro!C20</f>
        <v>0</v>
      </c>
      <c r="H156" s="96">
        <f>Setembro!E20</f>
        <v>85</v>
      </c>
      <c r="I156" s="96">
        <f t="shared" si="4"/>
        <v>-85</v>
      </c>
    </row>
    <row r="157" spans="4:9" x14ac:dyDescent="0.2">
      <c r="D157" s="101">
        <v>41153</v>
      </c>
      <c r="E157" s="120" t="s">
        <v>152</v>
      </c>
      <c r="F157" s="46" t="s">
        <v>10</v>
      </c>
      <c r="G157" s="47">
        <f>Setembro!C21</f>
        <v>0</v>
      </c>
      <c r="H157" s="96">
        <f>Setembro!E21</f>
        <v>0</v>
      </c>
      <c r="I157" s="96">
        <f t="shared" si="4"/>
        <v>0</v>
      </c>
    </row>
    <row r="158" spans="4:9" x14ac:dyDescent="0.2">
      <c r="D158" s="101">
        <v>41153</v>
      </c>
      <c r="E158" s="120" t="s">
        <v>152</v>
      </c>
      <c r="F158" s="46" t="s">
        <v>40</v>
      </c>
      <c r="G158" s="47">
        <f>Setembro!C22</f>
        <v>40939</v>
      </c>
      <c r="H158" s="96">
        <f>Setembro!E22</f>
        <v>0</v>
      </c>
      <c r="I158" s="96">
        <f t="shared" ref="I158:I159" si="5">IF(E158="Crédito",H158,H158*-1)</f>
        <v>0</v>
      </c>
    </row>
    <row r="159" spans="4:9" x14ac:dyDescent="0.2">
      <c r="D159" s="101">
        <v>41154</v>
      </c>
      <c r="E159" s="120" t="s">
        <v>152</v>
      </c>
      <c r="F159" s="46" t="s">
        <v>40</v>
      </c>
      <c r="G159" s="47">
        <f>Setembro!C23</f>
        <v>40939</v>
      </c>
      <c r="H159" s="96">
        <f>Setembro!E23</f>
        <v>0</v>
      </c>
      <c r="I159" s="96">
        <f t="shared" si="5"/>
        <v>0</v>
      </c>
    </row>
    <row r="160" spans="4:9" x14ac:dyDescent="0.2">
      <c r="D160" s="101">
        <v>41183</v>
      </c>
      <c r="E160" s="119" t="s">
        <v>151</v>
      </c>
      <c r="F160" s="46" t="s">
        <v>128</v>
      </c>
      <c r="G160" s="47" t="s">
        <v>128</v>
      </c>
      <c r="H160" s="96">
        <f>Outubro!C3</f>
        <v>0</v>
      </c>
      <c r="I160" s="96">
        <f t="shared" si="4"/>
        <v>0</v>
      </c>
    </row>
    <row r="161" spans="4:9" x14ac:dyDescent="0.2">
      <c r="D161" s="101">
        <v>41183</v>
      </c>
      <c r="E161" s="119" t="s">
        <v>151</v>
      </c>
      <c r="F161" s="46" t="s">
        <v>129</v>
      </c>
      <c r="G161" s="47" t="s">
        <v>129</v>
      </c>
      <c r="H161" s="96">
        <f>Outubro!D3</f>
        <v>0</v>
      </c>
      <c r="I161" s="96">
        <f t="shared" si="4"/>
        <v>0</v>
      </c>
    </row>
    <row r="162" spans="4:9" x14ac:dyDescent="0.2">
      <c r="D162" s="101">
        <v>41183</v>
      </c>
      <c r="E162" s="120" t="s">
        <v>152</v>
      </c>
      <c r="F162" s="46" t="s">
        <v>38</v>
      </c>
      <c r="G162" s="47">
        <f>Outubro!C7</f>
        <v>1000</v>
      </c>
      <c r="H162" s="96">
        <f>H160*10%</f>
        <v>0</v>
      </c>
      <c r="I162" s="96">
        <f t="shared" si="4"/>
        <v>0</v>
      </c>
    </row>
    <row r="163" spans="4:9" x14ac:dyDescent="0.2">
      <c r="D163" s="101">
        <v>41183</v>
      </c>
      <c r="E163" s="120" t="s">
        <v>152</v>
      </c>
      <c r="F163" s="46" t="s">
        <v>38</v>
      </c>
      <c r="G163" s="47">
        <f>Outubro!C8</f>
        <v>1000</v>
      </c>
      <c r="H163" s="96">
        <f>Outubro!E8</f>
        <v>0</v>
      </c>
      <c r="I163" s="96">
        <f t="shared" si="4"/>
        <v>0</v>
      </c>
    </row>
    <row r="164" spans="4:9" x14ac:dyDescent="0.2">
      <c r="D164" s="101">
        <v>41183</v>
      </c>
      <c r="E164" s="120" t="s">
        <v>152</v>
      </c>
      <c r="F164" s="46" t="s">
        <v>38</v>
      </c>
      <c r="G164" s="47">
        <f>Outubro!C9</f>
        <v>3000</v>
      </c>
      <c r="H164" s="96">
        <f>Outubro!E9</f>
        <v>0</v>
      </c>
      <c r="I164" s="96">
        <f t="shared" si="4"/>
        <v>0</v>
      </c>
    </row>
    <row r="165" spans="4:9" x14ac:dyDescent="0.2">
      <c r="D165" s="101">
        <v>41183</v>
      </c>
      <c r="E165" s="120" t="s">
        <v>152</v>
      </c>
      <c r="F165" s="46" t="s">
        <v>38</v>
      </c>
      <c r="G165" s="47">
        <f>Outubro!C10</f>
        <v>0</v>
      </c>
      <c r="H165" s="96">
        <f>Outubro!E10</f>
        <v>0</v>
      </c>
      <c r="I165" s="96">
        <f t="shared" si="4"/>
        <v>0</v>
      </c>
    </row>
    <row r="166" spans="4:9" x14ac:dyDescent="0.2">
      <c r="D166" s="101">
        <v>41183</v>
      </c>
      <c r="E166" s="120" t="s">
        <v>152</v>
      </c>
      <c r="F166" s="46" t="s">
        <v>38</v>
      </c>
      <c r="G166" s="47">
        <f>Outubro!C11</f>
        <v>0</v>
      </c>
      <c r="H166" s="96">
        <f>Outubro!E11</f>
        <v>0</v>
      </c>
      <c r="I166" s="96">
        <f t="shared" si="4"/>
        <v>0</v>
      </c>
    </row>
    <row r="167" spans="4:9" x14ac:dyDescent="0.2">
      <c r="D167" s="101">
        <v>41183</v>
      </c>
      <c r="E167" s="120" t="s">
        <v>152</v>
      </c>
      <c r="F167" s="46" t="s">
        <v>41</v>
      </c>
      <c r="G167" s="47">
        <f>Outubro!C14</f>
        <v>40939</v>
      </c>
      <c r="H167" s="96">
        <f>Outubro!E14</f>
        <v>10</v>
      </c>
      <c r="I167" s="96">
        <f t="shared" si="4"/>
        <v>-10</v>
      </c>
    </row>
    <row r="168" spans="4:9" x14ac:dyDescent="0.2">
      <c r="D168" s="101">
        <v>41183</v>
      </c>
      <c r="E168" s="120" t="s">
        <v>152</v>
      </c>
      <c r="F168" s="46" t="s">
        <v>41</v>
      </c>
      <c r="G168" s="47">
        <f>Outubro!C15</f>
        <v>40939</v>
      </c>
      <c r="H168" s="96">
        <f>Outubro!E15</f>
        <v>6.25</v>
      </c>
      <c r="I168" s="96">
        <f t="shared" si="4"/>
        <v>-6.25</v>
      </c>
    </row>
    <row r="169" spans="4:9" x14ac:dyDescent="0.2">
      <c r="D169" s="101">
        <v>41183</v>
      </c>
      <c r="E169" s="120" t="s">
        <v>152</v>
      </c>
      <c r="F169" s="46" t="s">
        <v>41</v>
      </c>
      <c r="G169" s="47">
        <f>Outubro!C16</f>
        <v>40939</v>
      </c>
      <c r="H169" s="96">
        <f>Outubro!E16</f>
        <v>25</v>
      </c>
      <c r="I169" s="96">
        <f t="shared" si="4"/>
        <v>-25</v>
      </c>
    </row>
    <row r="170" spans="4:9" x14ac:dyDescent="0.2">
      <c r="D170" s="101">
        <v>41183</v>
      </c>
      <c r="E170" s="120" t="s">
        <v>152</v>
      </c>
      <c r="F170" s="46" t="s">
        <v>126</v>
      </c>
      <c r="G170" s="47">
        <f>Outubro!C17</f>
        <v>40939</v>
      </c>
      <c r="H170" s="96">
        <f>Outubro!E17</f>
        <v>1.25</v>
      </c>
      <c r="I170" s="96">
        <f t="shared" si="4"/>
        <v>-1.25</v>
      </c>
    </row>
    <row r="171" spans="4:9" x14ac:dyDescent="0.2">
      <c r="D171" s="101">
        <v>41183</v>
      </c>
      <c r="E171" s="120" t="s">
        <v>152</v>
      </c>
      <c r="F171" s="46" t="s">
        <v>10</v>
      </c>
      <c r="G171" s="47">
        <f>Outubro!C20</f>
        <v>0</v>
      </c>
      <c r="H171" s="96">
        <f>Outubro!E20</f>
        <v>85</v>
      </c>
      <c r="I171" s="96">
        <f t="shared" si="4"/>
        <v>-85</v>
      </c>
    </row>
    <row r="172" spans="4:9" x14ac:dyDescent="0.2">
      <c r="D172" s="101">
        <v>41183</v>
      </c>
      <c r="E172" s="120" t="s">
        <v>152</v>
      </c>
      <c r="F172" s="46" t="s">
        <v>10</v>
      </c>
      <c r="G172" s="47">
        <f>Outubro!C21</f>
        <v>0</v>
      </c>
      <c r="H172" s="96">
        <f>Outubro!E21</f>
        <v>0</v>
      </c>
      <c r="I172" s="96">
        <f t="shared" si="4"/>
        <v>0</v>
      </c>
    </row>
    <row r="173" spans="4:9" x14ac:dyDescent="0.2">
      <c r="D173" s="101">
        <v>41183</v>
      </c>
      <c r="E173" s="120" t="s">
        <v>152</v>
      </c>
      <c r="F173" s="46" t="s">
        <v>40</v>
      </c>
      <c r="G173" s="47">
        <f>Outubro!C22</f>
        <v>40939</v>
      </c>
      <c r="H173" s="96">
        <f>Outubro!E22</f>
        <v>0</v>
      </c>
      <c r="I173" s="96">
        <f t="shared" si="4"/>
        <v>0</v>
      </c>
    </row>
    <row r="174" spans="4:9" x14ac:dyDescent="0.2">
      <c r="D174" s="101">
        <v>41214</v>
      </c>
      <c r="E174" s="119" t="s">
        <v>151</v>
      </c>
      <c r="F174" s="46" t="s">
        <v>128</v>
      </c>
      <c r="G174" s="47" t="s">
        <v>128</v>
      </c>
      <c r="H174" s="96">
        <f>Novembro!C3</f>
        <v>0</v>
      </c>
      <c r="I174" s="96">
        <f t="shared" si="4"/>
        <v>0</v>
      </c>
    </row>
    <row r="175" spans="4:9" x14ac:dyDescent="0.2">
      <c r="D175" s="101">
        <v>41214</v>
      </c>
      <c r="E175" s="119" t="s">
        <v>151</v>
      </c>
      <c r="F175" s="46" t="s">
        <v>129</v>
      </c>
      <c r="G175" s="47" t="s">
        <v>129</v>
      </c>
      <c r="H175" s="96">
        <f>Novembro!D3</f>
        <v>0</v>
      </c>
      <c r="I175" s="96">
        <f t="shared" si="4"/>
        <v>0</v>
      </c>
    </row>
    <row r="176" spans="4:9" x14ac:dyDescent="0.2">
      <c r="D176" s="101">
        <v>41214</v>
      </c>
      <c r="E176" s="120" t="s">
        <v>152</v>
      </c>
      <c r="F176" s="46" t="s">
        <v>38</v>
      </c>
      <c r="G176" s="47">
        <f>Novembro!C7</f>
        <v>1000</v>
      </c>
      <c r="H176" s="96">
        <f>H174*10%</f>
        <v>0</v>
      </c>
      <c r="I176" s="96">
        <f t="shared" si="4"/>
        <v>0</v>
      </c>
    </row>
    <row r="177" spans="4:9" x14ac:dyDescent="0.2">
      <c r="D177" s="101">
        <v>41214</v>
      </c>
      <c r="E177" s="120" t="s">
        <v>152</v>
      </c>
      <c r="F177" s="46" t="s">
        <v>38</v>
      </c>
      <c r="G177" s="47">
        <f>Novembro!C8</f>
        <v>1000</v>
      </c>
      <c r="H177" s="96">
        <f>Novembro!E8</f>
        <v>0</v>
      </c>
      <c r="I177" s="96">
        <f t="shared" si="4"/>
        <v>0</v>
      </c>
    </row>
    <row r="178" spans="4:9" x14ac:dyDescent="0.2">
      <c r="D178" s="101">
        <v>41214</v>
      </c>
      <c r="E178" s="120" t="s">
        <v>152</v>
      </c>
      <c r="F178" s="46" t="s">
        <v>38</v>
      </c>
      <c r="G178" s="47">
        <f>Novembro!C9</f>
        <v>3000</v>
      </c>
      <c r="H178" s="96">
        <f>Novembro!E9</f>
        <v>0</v>
      </c>
      <c r="I178" s="96">
        <f t="shared" si="4"/>
        <v>0</v>
      </c>
    </row>
    <row r="179" spans="4:9" x14ac:dyDescent="0.2">
      <c r="D179" s="101">
        <v>41214</v>
      </c>
      <c r="E179" s="120" t="s">
        <v>152</v>
      </c>
      <c r="F179" s="46" t="s">
        <v>38</v>
      </c>
      <c r="G179" s="47">
        <f>Novembro!C10</f>
        <v>0</v>
      </c>
      <c r="H179" s="96">
        <f>Novembro!E10</f>
        <v>0</v>
      </c>
      <c r="I179" s="96">
        <f t="shared" si="4"/>
        <v>0</v>
      </c>
    </row>
    <row r="180" spans="4:9" x14ac:dyDescent="0.2">
      <c r="D180" s="101">
        <v>41214</v>
      </c>
      <c r="E180" s="120" t="s">
        <v>152</v>
      </c>
      <c r="F180" s="46" t="s">
        <v>38</v>
      </c>
      <c r="G180" s="47">
        <f>Novembro!C11</f>
        <v>0</v>
      </c>
      <c r="H180" s="96">
        <f>Novembro!E11</f>
        <v>0</v>
      </c>
      <c r="I180" s="96">
        <f t="shared" si="4"/>
        <v>0</v>
      </c>
    </row>
    <row r="181" spans="4:9" x14ac:dyDescent="0.2">
      <c r="D181" s="101">
        <v>41214</v>
      </c>
      <c r="E181" s="120" t="s">
        <v>152</v>
      </c>
      <c r="F181" s="46" t="s">
        <v>41</v>
      </c>
      <c r="G181" s="47">
        <f>Novembro!C14</f>
        <v>40939</v>
      </c>
      <c r="H181" s="96">
        <f>Novembro!E14</f>
        <v>10</v>
      </c>
      <c r="I181" s="96">
        <f t="shared" si="4"/>
        <v>-10</v>
      </c>
    </row>
    <row r="182" spans="4:9" x14ac:dyDescent="0.2">
      <c r="D182" s="101">
        <v>41214</v>
      </c>
      <c r="E182" s="120" t="s">
        <v>152</v>
      </c>
      <c r="F182" s="46" t="s">
        <v>41</v>
      </c>
      <c r="G182" s="47">
        <f>Novembro!C15</f>
        <v>40939</v>
      </c>
      <c r="H182" s="96">
        <f>Novembro!E15</f>
        <v>6.25</v>
      </c>
      <c r="I182" s="96">
        <f t="shared" si="4"/>
        <v>-6.25</v>
      </c>
    </row>
    <row r="183" spans="4:9" x14ac:dyDescent="0.2">
      <c r="D183" s="101">
        <v>41214</v>
      </c>
      <c r="E183" s="120" t="s">
        <v>152</v>
      </c>
      <c r="F183" s="46" t="s">
        <v>41</v>
      </c>
      <c r="G183" s="47">
        <f>Novembro!C16</f>
        <v>40939</v>
      </c>
      <c r="H183" s="96">
        <f>Novembro!E16</f>
        <v>25</v>
      </c>
      <c r="I183" s="96">
        <f t="shared" si="4"/>
        <v>-25</v>
      </c>
    </row>
    <row r="184" spans="4:9" x14ac:dyDescent="0.2">
      <c r="D184" s="101">
        <v>41214</v>
      </c>
      <c r="E184" s="120" t="s">
        <v>152</v>
      </c>
      <c r="F184" s="46" t="s">
        <v>126</v>
      </c>
      <c r="G184" s="47">
        <f>Novembro!C17</f>
        <v>40939</v>
      </c>
      <c r="H184" s="96">
        <f>Novembro!E17</f>
        <v>1.25</v>
      </c>
      <c r="I184" s="96">
        <f t="shared" si="4"/>
        <v>-1.25</v>
      </c>
    </row>
    <row r="185" spans="4:9" x14ac:dyDescent="0.2">
      <c r="D185" s="101">
        <v>41214</v>
      </c>
      <c r="E185" s="120" t="s">
        <v>152</v>
      </c>
      <c r="F185" s="46" t="s">
        <v>10</v>
      </c>
      <c r="G185" s="47">
        <f>Novembro!C20</f>
        <v>0</v>
      </c>
      <c r="H185" s="96">
        <f>Novembro!E20</f>
        <v>85</v>
      </c>
      <c r="I185" s="96">
        <f t="shared" si="4"/>
        <v>-85</v>
      </c>
    </row>
    <row r="186" spans="4:9" x14ac:dyDescent="0.2">
      <c r="D186" s="101">
        <v>41214</v>
      </c>
      <c r="E186" s="120" t="s">
        <v>152</v>
      </c>
      <c r="F186" s="46" t="s">
        <v>10</v>
      </c>
      <c r="G186" s="47">
        <f>Novembro!C21</f>
        <v>0</v>
      </c>
      <c r="H186" s="96">
        <f>Novembro!E21</f>
        <v>0</v>
      </c>
      <c r="I186" s="96">
        <f t="shared" si="4"/>
        <v>0</v>
      </c>
    </row>
    <row r="187" spans="4:9" x14ac:dyDescent="0.2">
      <c r="D187" s="101">
        <v>41214</v>
      </c>
      <c r="E187" s="120" t="s">
        <v>152</v>
      </c>
      <c r="F187" s="46" t="s">
        <v>40</v>
      </c>
      <c r="G187" s="47">
        <f>Novembro!C22</f>
        <v>40939</v>
      </c>
      <c r="H187" s="96">
        <f>Novembro!E22</f>
        <v>0</v>
      </c>
      <c r="I187" s="96">
        <f t="shared" si="4"/>
        <v>0</v>
      </c>
    </row>
    <row r="188" spans="4:9" x14ac:dyDescent="0.2">
      <c r="D188" s="101">
        <v>41244</v>
      </c>
      <c r="E188" s="119" t="s">
        <v>151</v>
      </c>
      <c r="F188" s="46" t="s">
        <v>128</v>
      </c>
      <c r="G188" s="47" t="s">
        <v>128</v>
      </c>
      <c r="H188" s="96">
        <f>Dezembro!C3</f>
        <v>0</v>
      </c>
      <c r="I188" s="96">
        <f t="shared" si="4"/>
        <v>0</v>
      </c>
    </row>
    <row r="189" spans="4:9" x14ac:dyDescent="0.2">
      <c r="D189" s="101">
        <v>41244</v>
      </c>
      <c r="E189" s="119" t="s">
        <v>151</v>
      </c>
      <c r="F189" s="46" t="s">
        <v>129</v>
      </c>
      <c r="G189" s="47" t="s">
        <v>129</v>
      </c>
      <c r="H189" s="96">
        <f>Dezembro!D3</f>
        <v>0</v>
      </c>
      <c r="I189" s="96">
        <f t="shared" si="4"/>
        <v>0</v>
      </c>
    </row>
    <row r="190" spans="4:9" x14ac:dyDescent="0.2">
      <c r="D190" s="101">
        <v>41244</v>
      </c>
      <c r="E190" s="120" t="s">
        <v>152</v>
      </c>
      <c r="F190" s="46" t="s">
        <v>38</v>
      </c>
      <c r="G190" s="47">
        <f>Dezembro!C7</f>
        <v>1000</v>
      </c>
      <c r="H190" s="96">
        <f>H188*10%</f>
        <v>0</v>
      </c>
      <c r="I190" s="96">
        <f t="shared" si="4"/>
        <v>0</v>
      </c>
    </row>
    <row r="191" spans="4:9" x14ac:dyDescent="0.2">
      <c r="D191" s="101">
        <v>41244</v>
      </c>
      <c r="E191" s="120" t="s">
        <v>152</v>
      </c>
      <c r="F191" s="46" t="s">
        <v>38</v>
      </c>
      <c r="G191" s="47">
        <f>Dezembro!C8</f>
        <v>1000</v>
      </c>
      <c r="H191" s="96">
        <f>Dezembro!E8</f>
        <v>0</v>
      </c>
      <c r="I191" s="96">
        <f t="shared" si="4"/>
        <v>0</v>
      </c>
    </row>
    <row r="192" spans="4:9" x14ac:dyDescent="0.2">
      <c r="D192" s="101">
        <v>41244</v>
      </c>
      <c r="E192" s="120" t="s">
        <v>152</v>
      </c>
      <c r="F192" s="46" t="s">
        <v>38</v>
      </c>
      <c r="G192" s="47">
        <f>Dezembro!C9</f>
        <v>3000</v>
      </c>
      <c r="H192" s="96">
        <f>Dezembro!E9</f>
        <v>0</v>
      </c>
      <c r="I192" s="96">
        <f t="shared" si="4"/>
        <v>0</v>
      </c>
    </row>
    <row r="193" spans="4:9" x14ac:dyDescent="0.2">
      <c r="D193" s="101">
        <v>41244</v>
      </c>
      <c r="E193" s="120" t="s">
        <v>152</v>
      </c>
      <c r="F193" s="46" t="s">
        <v>38</v>
      </c>
      <c r="G193" s="47">
        <f>Dezembro!C10</f>
        <v>0</v>
      </c>
      <c r="H193" s="96">
        <f>Dezembro!E10</f>
        <v>0</v>
      </c>
      <c r="I193" s="96">
        <f t="shared" si="4"/>
        <v>0</v>
      </c>
    </row>
    <row r="194" spans="4:9" x14ac:dyDescent="0.2">
      <c r="D194" s="101">
        <v>41244</v>
      </c>
      <c r="E194" s="120" t="s">
        <v>152</v>
      </c>
      <c r="F194" s="46" t="s">
        <v>38</v>
      </c>
      <c r="G194" s="47">
        <f>Dezembro!C11</f>
        <v>0</v>
      </c>
      <c r="H194" s="96">
        <f>Dezembro!E11</f>
        <v>0</v>
      </c>
      <c r="I194" s="96">
        <f t="shared" si="4"/>
        <v>0</v>
      </c>
    </row>
    <row r="195" spans="4:9" x14ac:dyDescent="0.2">
      <c r="D195" s="101">
        <v>41244</v>
      </c>
      <c r="E195" s="120" t="s">
        <v>152</v>
      </c>
      <c r="F195" s="46" t="s">
        <v>41</v>
      </c>
      <c r="G195" s="47">
        <f>Dezembro!C14</f>
        <v>40939</v>
      </c>
      <c r="H195" s="96">
        <f>Dezembro!E14</f>
        <v>10</v>
      </c>
      <c r="I195" s="96">
        <f t="shared" si="4"/>
        <v>-10</v>
      </c>
    </row>
    <row r="196" spans="4:9" x14ac:dyDescent="0.2">
      <c r="D196" s="101">
        <v>41244</v>
      </c>
      <c r="E196" s="120" t="s">
        <v>152</v>
      </c>
      <c r="F196" s="46" t="s">
        <v>41</v>
      </c>
      <c r="G196" s="47">
        <f>Dezembro!C15</f>
        <v>40939</v>
      </c>
      <c r="H196" s="96">
        <f>Dezembro!E15</f>
        <v>6.25</v>
      </c>
      <c r="I196" s="96">
        <f t="shared" si="4"/>
        <v>-6.25</v>
      </c>
    </row>
    <row r="197" spans="4:9" x14ac:dyDescent="0.2">
      <c r="D197" s="101">
        <v>41244</v>
      </c>
      <c r="E197" s="120" t="s">
        <v>152</v>
      </c>
      <c r="F197" s="46" t="s">
        <v>41</v>
      </c>
      <c r="G197" s="47">
        <f>Dezembro!C16</f>
        <v>40939</v>
      </c>
      <c r="H197" s="96">
        <f>Dezembro!E16</f>
        <v>25</v>
      </c>
      <c r="I197" s="96">
        <f t="shared" si="4"/>
        <v>-25</v>
      </c>
    </row>
    <row r="198" spans="4:9" x14ac:dyDescent="0.2">
      <c r="D198" s="101">
        <v>41244</v>
      </c>
      <c r="E198" s="120" t="s">
        <v>152</v>
      </c>
      <c r="F198" s="46" t="s">
        <v>126</v>
      </c>
      <c r="G198" s="47">
        <f>Dezembro!C17</f>
        <v>40939</v>
      </c>
      <c r="H198" s="96">
        <f>Dezembro!E17</f>
        <v>1.25</v>
      </c>
      <c r="I198" s="96">
        <f t="shared" si="4"/>
        <v>-1.25</v>
      </c>
    </row>
    <row r="199" spans="4:9" x14ac:dyDescent="0.2">
      <c r="D199" s="101">
        <v>41244</v>
      </c>
      <c r="E199" s="120" t="s">
        <v>152</v>
      </c>
      <c r="F199" s="46" t="s">
        <v>10</v>
      </c>
      <c r="G199" s="47">
        <f>Dezembro!C20</f>
        <v>0</v>
      </c>
      <c r="H199" s="96">
        <f>Dezembro!E20</f>
        <v>85</v>
      </c>
      <c r="I199" s="96">
        <f t="shared" si="4"/>
        <v>-85</v>
      </c>
    </row>
    <row r="200" spans="4:9" x14ac:dyDescent="0.2">
      <c r="D200" s="101">
        <v>41244</v>
      </c>
      <c r="E200" s="120" t="s">
        <v>152</v>
      </c>
      <c r="F200" s="46" t="s">
        <v>10</v>
      </c>
      <c r="G200" s="47">
        <f>Dezembro!C21</f>
        <v>0</v>
      </c>
      <c r="H200" s="96">
        <f>Dezembro!E21</f>
        <v>0</v>
      </c>
      <c r="I200" s="96">
        <f t="shared" si="4"/>
        <v>0</v>
      </c>
    </row>
    <row r="201" spans="4:9" ht="13.5" thickBot="1" x14ac:dyDescent="0.25">
      <c r="D201" s="102">
        <v>41244</v>
      </c>
      <c r="E201" s="121" t="s">
        <v>152</v>
      </c>
      <c r="F201" s="103" t="s">
        <v>40</v>
      </c>
      <c r="G201" s="104">
        <f>Dezembro!C22</f>
        <v>40939</v>
      </c>
      <c r="H201" s="97">
        <f>Dezembro!E22</f>
        <v>0</v>
      </c>
      <c r="I201" s="97">
        <f t="shared" ref="I201" si="6">IF(E201="Crédito",H201,H201*-1)</f>
        <v>0</v>
      </c>
    </row>
  </sheetData>
  <autoFilter ref="D2:H20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D9-D31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1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230" priority="10" stopIfTrue="1" operator="equal">
      <formula>"ok"</formula>
    </cfRule>
  </conditionalFormatting>
  <conditionalFormatting sqref="E21 E23:E30 E14:E19">
    <cfRule type="cellIs" dxfId="229" priority="9" stopIfTrue="1" operator="greaterThan">
      <formula>15</formula>
    </cfRule>
  </conditionalFormatting>
  <conditionalFormatting sqref="I7:I10">
    <cfRule type="cellIs" dxfId="228" priority="8" stopIfTrue="1" operator="lessThan">
      <formula>0</formula>
    </cfRule>
  </conditionalFormatting>
  <conditionalFormatting sqref="E22">
    <cfRule type="cellIs" dxfId="227" priority="5" stopIfTrue="1" operator="lessThan">
      <formula>15</formula>
    </cfRule>
    <cfRule type="cellIs" dxfId="226" priority="6" stopIfTrue="1" operator="between">
      <formula>15</formula>
      <formula>19</formula>
    </cfRule>
    <cfRule type="cellIs" dxfId="225" priority="7" stopIfTrue="1" operator="greaterThanOrEqual">
      <formula>20</formula>
    </cfRule>
  </conditionalFormatting>
  <conditionalFormatting sqref="D26:D29 D15:D19">
    <cfRule type="cellIs" dxfId="224" priority="4" stopIfTrue="1" operator="greaterThan">
      <formula>400</formula>
    </cfRule>
  </conditionalFormatting>
  <conditionalFormatting sqref="D20 D29">
    <cfRule type="cellIs" dxfId="223" priority="3" operator="greaterThan">
      <formula>1100</formula>
    </cfRule>
  </conditionalFormatting>
  <conditionalFormatting sqref="D24">
    <cfRule type="cellIs" dxfId="222" priority="2" operator="lessThan">
      <formula>250</formula>
    </cfRule>
  </conditionalFormatting>
  <conditionalFormatting sqref="D26:D27 D17">
    <cfRule type="cellIs" dxfId="22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2"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20"/>
      <c r="J7" s="20"/>
      <c r="K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20"/>
      <c r="J8" s="20"/>
      <c r="K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20"/>
      <c r="J9" s="20"/>
      <c r="K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220" priority="10" stopIfTrue="1" operator="equal">
      <formula>"ok"</formula>
    </cfRule>
  </conditionalFormatting>
  <conditionalFormatting sqref="E21 E23:E30 E14:E19">
    <cfRule type="cellIs" dxfId="219" priority="9" stopIfTrue="1" operator="greaterThan">
      <formula>15</formula>
    </cfRule>
  </conditionalFormatting>
  <conditionalFormatting sqref="I10">
    <cfRule type="cellIs" dxfId="218" priority="8" stopIfTrue="1" operator="lessThan">
      <formula>0</formula>
    </cfRule>
  </conditionalFormatting>
  <conditionalFormatting sqref="E22">
    <cfRule type="cellIs" dxfId="217" priority="5" stopIfTrue="1" operator="lessThan">
      <formula>15</formula>
    </cfRule>
    <cfRule type="cellIs" dxfId="216" priority="6" stopIfTrue="1" operator="between">
      <formula>15</formula>
      <formula>19</formula>
    </cfRule>
    <cfRule type="cellIs" dxfId="215" priority="7" stopIfTrue="1" operator="greaterThanOrEqual">
      <formula>20</formula>
    </cfRule>
  </conditionalFormatting>
  <conditionalFormatting sqref="D26:D29 D15:D19">
    <cfRule type="cellIs" dxfId="214" priority="4" stopIfTrue="1" operator="greaterThan">
      <formula>400</formula>
    </cfRule>
  </conditionalFormatting>
  <conditionalFormatting sqref="D20 D29">
    <cfRule type="cellIs" dxfId="213" priority="3" operator="greaterThan">
      <formula>1100</formula>
    </cfRule>
  </conditionalFormatting>
  <conditionalFormatting sqref="D24">
    <cfRule type="cellIs" dxfId="212" priority="2" operator="lessThan">
      <formula>250</formula>
    </cfRule>
  </conditionalFormatting>
  <conditionalFormatting sqref="D26:D27 D17">
    <cfRule type="cellIs" dxfId="21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210" priority="10" stopIfTrue="1" operator="equal">
      <formula>"ok"</formula>
    </cfRule>
  </conditionalFormatting>
  <conditionalFormatting sqref="E21 E23:E30 E14:E19">
    <cfRule type="cellIs" dxfId="209" priority="9" stopIfTrue="1" operator="greaterThan">
      <formula>15</formula>
    </cfRule>
  </conditionalFormatting>
  <conditionalFormatting sqref="I7:I10">
    <cfRule type="cellIs" dxfId="208" priority="8" stopIfTrue="1" operator="lessThan">
      <formula>0</formula>
    </cfRule>
  </conditionalFormatting>
  <conditionalFormatting sqref="E22">
    <cfRule type="cellIs" dxfId="207" priority="5" stopIfTrue="1" operator="lessThan">
      <formula>15</formula>
    </cfRule>
    <cfRule type="cellIs" dxfId="206" priority="6" stopIfTrue="1" operator="between">
      <formula>15</formula>
      <formula>19</formula>
    </cfRule>
    <cfRule type="cellIs" dxfId="205" priority="7" stopIfTrue="1" operator="greaterThanOrEqual">
      <formula>20</formula>
    </cfRule>
  </conditionalFormatting>
  <conditionalFormatting sqref="D26:D29 D15:D19">
    <cfRule type="cellIs" dxfId="204" priority="4" stopIfTrue="1" operator="greaterThan">
      <formula>400</formula>
    </cfRule>
  </conditionalFormatting>
  <conditionalFormatting sqref="D20 D29">
    <cfRule type="cellIs" dxfId="203" priority="3" operator="greaterThan">
      <formula>1100</formula>
    </cfRule>
  </conditionalFormatting>
  <conditionalFormatting sqref="D24">
    <cfRule type="cellIs" dxfId="202" priority="2" operator="lessThan">
      <formula>250</formula>
    </cfRule>
  </conditionalFormatting>
  <conditionalFormatting sqref="D26:D27 D17">
    <cfRule type="cellIs" dxfId="20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200" priority="10" stopIfTrue="1" operator="equal">
      <formula>"ok"</formula>
    </cfRule>
  </conditionalFormatting>
  <conditionalFormatting sqref="E21 E23:E30 E14:E19">
    <cfRule type="cellIs" dxfId="199" priority="9" stopIfTrue="1" operator="greaterThan">
      <formula>15</formula>
    </cfRule>
  </conditionalFormatting>
  <conditionalFormatting sqref="I7:I10">
    <cfRule type="cellIs" dxfId="198" priority="8" stopIfTrue="1" operator="lessThan">
      <formula>0</formula>
    </cfRule>
  </conditionalFormatting>
  <conditionalFormatting sqref="E22">
    <cfRule type="cellIs" dxfId="197" priority="5" stopIfTrue="1" operator="lessThan">
      <formula>15</formula>
    </cfRule>
    <cfRule type="cellIs" dxfId="196" priority="6" stopIfTrue="1" operator="between">
      <formula>15</formula>
      <formula>19</formula>
    </cfRule>
    <cfRule type="cellIs" dxfId="195" priority="7" stopIfTrue="1" operator="greaterThanOrEqual">
      <formula>20</formula>
    </cfRule>
  </conditionalFormatting>
  <conditionalFormatting sqref="D26:D29 D15:D19">
    <cfRule type="cellIs" dxfId="194" priority="4" stopIfTrue="1" operator="greaterThan">
      <formula>400</formula>
    </cfRule>
  </conditionalFormatting>
  <conditionalFormatting sqref="D20 D29">
    <cfRule type="cellIs" dxfId="193" priority="3" operator="greaterThan">
      <formula>1100</formula>
    </cfRule>
  </conditionalFormatting>
  <conditionalFormatting sqref="D24">
    <cfRule type="cellIs" dxfId="192" priority="2" operator="lessThan">
      <formula>250</formula>
    </cfRule>
  </conditionalFormatting>
  <conditionalFormatting sqref="D26:D27 D17">
    <cfRule type="cellIs" dxfId="19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20"/>
      <c r="J7" s="20"/>
      <c r="K7" s="20"/>
      <c r="L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190" priority="10" stopIfTrue="1" operator="equal">
      <formula>"ok"</formula>
    </cfRule>
  </conditionalFormatting>
  <conditionalFormatting sqref="E21 E23:E30 E14:E19">
    <cfRule type="cellIs" dxfId="189" priority="9" stopIfTrue="1" operator="greaterThan">
      <formula>15</formula>
    </cfRule>
  </conditionalFormatting>
  <conditionalFormatting sqref="I8:I10">
    <cfRule type="cellIs" dxfId="188" priority="8" stopIfTrue="1" operator="lessThan">
      <formula>0</formula>
    </cfRule>
  </conditionalFormatting>
  <conditionalFormatting sqref="E22">
    <cfRule type="cellIs" dxfId="187" priority="5" stopIfTrue="1" operator="lessThan">
      <formula>15</formula>
    </cfRule>
    <cfRule type="cellIs" dxfId="186" priority="6" stopIfTrue="1" operator="between">
      <formula>15</formula>
      <formula>19</formula>
    </cfRule>
    <cfRule type="cellIs" dxfId="185" priority="7" stopIfTrue="1" operator="greaterThanOrEqual">
      <formula>20</formula>
    </cfRule>
  </conditionalFormatting>
  <conditionalFormatting sqref="D26:D29 D15:D19">
    <cfRule type="cellIs" dxfId="184" priority="4" stopIfTrue="1" operator="greaterThan">
      <formula>400</formula>
    </cfRule>
  </conditionalFormatting>
  <conditionalFormatting sqref="D20 D29">
    <cfRule type="cellIs" dxfId="183" priority="3" operator="greaterThan">
      <formula>1100</formula>
    </cfRule>
  </conditionalFormatting>
  <conditionalFormatting sqref="D24">
    <cfRule type="cellIs" dxfId="182" priority="2" operator="lessThan">
      <formula>250</formula>
    </cfRule>
  </conditionalFormatting>
  <conditionalFormatting sqref="D26:D27 D17">
    <cfRule type="cellIs" dxfId="18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4"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180" priority="10" stopIfTrue="1" operator="equal">
      <formula>"ok"</formula>
    </cfRule>
  </conditionalFormatting>
  <conditionalFormatting sqref="E21 E23:E30 E14:E19">
    <cfRule type="cellIs" dxfId="179" priority="9" stopIfTrue="1" operator="greaterThan">
      <formula>15</formula>
    </cfRule>
  </conditionalFormatting>
  <conditionalFormatting sqref="I7:I10">
    <cfRule type="cellIs" dxfId="178" priority="8" stopIfTrue="1" operator="lessThan">
      <formula>0</formula>
    </cfRule>
  </conditionalFormatting>
  <conditionalFormatting sqref="E22">
    <cfRule type="cellIs" dxfId="177" priority="5" stopIfTrue="1" operator="lessThan">
      <formula>15</formula>
    </cfRule>
    <cfRule type="cellIs" dxfId="176" priority="6" stopIfTrue="1" operator="between">
      <formula>15</formula>
      <formula>19</formula>
    </cfRule>
    <cfRule type="cellIs" dxfId="175" priority="7" stopIfTrue="1" operator="greaterThanOrEqual">
      <formula>20</formula>
    </cfRule>
  </conditionalFormatting>
  <conditionalFormatting sqref="D26:D29 D15:D19">
    <cfRule type="cellIs" dxfId="174" priority="4" stopIfTrue="1" operator="greaterThan">
      <formula>400</formula>
    </cfRule>
  </conditionalFormatting>
  <conditionalFormatting sqref="D20 D29">
    <cfRule type="cellIs" dxfId="173" priority="3" operator="greaterThan">
      <formula>1100</formula>
    </cfRule>
  </conditionalFormatting>
  <conditionalFormatting sqref="D24">
    <cfRule type="cellIs" dxfId="172" priority="2" operator="lessThan">
      <formula>250</formula>
    </cfRule>
  </conditionalFormatting>
  <conditionalFormatting sqref="D26:D27 D17">
    <cfRule type="cellIs" dxfId="17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G5" sqref="G5"/>
    </sheetView>
  </sheetViews>
  <sheetFormatPr defaultRowHeight="12.75" x14ac:dyDescent="0.2"/>
  <cols>
    <col min="1" max="1" width="9.140625" style="1" customWidth="1"/>
    <col min="2" max="2" width="15.42578125" style="1" bestFit="1" customWidth="1"/>
    <col min="3" max="3" width="13.42578125" style="1" bestFit="1" customWidth="1"/>
    <col min="4" max="4" width="11" style="1" bestFit="1" customWidth="1"/>
    <col min="5" max="5" width="13.28515625" style="1" bestFit="1" customWidth="1"/>
    <col min="6" max="6" width="9.140625" style="1"/>
    <col min="7" max="7" width="16.7109375" style="1" bestFit="1" customWidth="1"/>
    <col min="8" max="8" width="17.42578125" style="1" bestFit="1" customWidth="1"/>
    <col min="9" max="9" width="15" style="1" bestFit="1" customWidth="1"/>
    <col min="10" max="10" width="12" style="1" bestFit="1" customWidth="1"/>
    <col min="11" max="12" width="12" style="1" customWidth="1"/>
    <col min="13" max="13" width="9.28515625" style="1" bestFit="1" customWidth="1"/>
    <col min="14" max="16384" width="9.140625" style="1"/>
  </cols>
  <sheetData>
    <row r="1" spans="1:13" x14ac:dyDescent="0.2">
      <c r="B1" s="3"/>
    </row>
    <row r="2" spans="1:13" ht="15.75" x14ac:dyDescent="0.25">
      <c r="B2" s="131" t="s">
        <v>171</v>
      </c>
    </row>
    <row r="3" spans="1:13" x14ac:dyDescent="0.2">
      <c r="B3" s="3"/>
    </row>
    <row r="4" spans="1:13" x14ac:dyDescent="0.2">
      <c r="B4" s="3"/>
    </row>
    <row r="5" spans="1:13" x14ac:dyDescent="0.2">
      <c r="C5" s="23" t="s">
        <v>29</v>
      </c>
      <c r="D5" s="24" t="s">
        <v>28</v>
      </c>
      <c r="E5" s="3"/>
      <c r="G5" s="25" t="s">
        <v>172</v>
      </c>
    </row>
    <row r="6" spans="1:13" x14ac:dyDescent="0.2">
      <c r="B6" s="16" t="s">
        <v>168</v>
      </c>
      <c r="C6" s="16">
        <v>1000</v>
      </c>
      <c r="D6" s="16">
        <v>800</v>
      </c>
      <c r="E6" s="5"/>
      <c r="F6" s="4"/>
      <c r="G6" s="16">
        <f>D7+D8+D6-SUMIF(C14:C30,40939,D14:D30)</f>
        <v>1328.47</v>
      </c>
      <c r="H6" s="4"/>
      <c r="I6" s="20"/>
      <c r="J6" s="20"/>
      <c r="K6" s="20"/>
      <c r="L6" s="4"/>
    </row>
    <row r="7" spans="1:13" x14ac:dyDescent="0.2">
      <c r="B7" s="16" t="s">
        <v>169</v>
      </c>
      <c r="C7" s="16">
        <v>1000</v>
      </c>
      <c r="D7" s="16">
        <v>800</v>
      </c>
      <c r="E7" s="5"/>
      <c r="F7" s="4"/>
      <c r="G7" s="81"/>
      <c r="H7" s="4"/>
      <c r="I7" s="122"/>
      <c r="J7" s="20"/>
      <c r="K7" s="20"/>
      <c r="L7" s="20"/>
      <c r="M7" s="4"/>
    </row>
    <row r="8" spans="1:13" x14ac:dyDescent="0.2">
      <c r="B8" s="16" t="s">
        <v>170</v>
      </c>
      <c r="C8" s="16">
        <v>1000</v>
      </c>
      <c r="D8" s="16">
        <v>800</v>
      </c>
      <c r="E8" s="5"/>
      <c r="F8" s="4"/>
      <c r="G8" s="81"/>
      <c r="H8" s="4"/>
      <c r="I8" s="122"/>
      <c r="J8" s="20"/>
      <c r="K8" s="20"/>
      <c r="L8" s="20"/>
      <c r="M8" s="4"/>
    </row>
    <row r="9" spans="1:13" x14ac:dyDescent="0.2">
      <c r="B9" s="16" t="s">
        <v>45</v>
      </c>
      <c r="C9" s="16">
        <f>SUM(C6:C8)</f>
        <v>3000</v>
      </c>
      <c r="D9" s="16">
        <f>SUM(D6:D8)</f>
        <v>2400</v>
      </c>
      <c r="E9" s="5"/>
      <c r="F9" s="4"/>
      <c r="G9" s="81"/>
      <c r="H9" s="4"/>
      <c r="I9" s="122"/>
      <c r="J9" s="20"/>
      <c r="K9" s="20"/>
      <c r="L9" s="20"/>
      <c r="M9" s="4"/>
    </row>
    <row r="10" spans="1:13" x14ac:dyDescent="0.2">
      <c r="B10" s="81"/>
      <c r="C10" s="81"/>
      <c r="D10" s="2"/>
      <c r="E10" s="5"/>
      <c r="F10" s="4"/>
      <c r="G10" s="81"/>
      <c r="H10" s="4"/>
      <c r="I10" s="122"/>
      <c r="J10" s="20"/>
      <c r="K10" s="20"/>
      <c r="L10" s="20"/>
      <c r="M10" s="4"/>
    </row>
    <row r="11" spans="1:13" ht="13.5" thickBot="1" x14ac:dyDescent="0.25">
      <c r="D11" s="2"/>
      <c r="E11" s="3"/>
      <c r="G11" s="40"/>
    </row>
    <row r="12" spans="1:13" x14ac:dyDescent="0.2">
      <c r="A12" s="41"/>
      <c r="B12" s="42" t="s">
        <v>2</v>
      </c>
      <c r="C12" s="43" t="s">
        <v>3</v>
      </c>
      <c r="D12" s="44" t="s">
        <v>4</v>
      </c>
      <c r="E12" s="45" t="s">
        <v>5</v>
      </c>
      <c r="G12" s="40"/>
      <c r="H12" s="123" t="s">
        <v>43</v>
      </c>
      <c r="I12" s="124"/>
    </row>
    <row r="13" spans="1:13" x14ac:dyDescent="0.2">
      <c r="B13" s="46" t="s">
        <v>38</v>
      </c>
      <c r="C13" s="27"/>
      <c r="D13" s="28"/>
      <c r="E13" s="29"/>
      <c r="G13" s="40"/>
      <c r="H13" s="35" t="s">
        <v>38</v>
      </c>
      <c r="I13" s="37">
        <f>SUMIF(F14:F19,"",D14:D19)</f>
        <v>320</v>
      </c>
    </row>
    <row r="14" spans="1:13" x14ac:dyDescent="0.2">
      <c r="A14" s="41"/>
      <c r="B14" s="47" t="s">
        <v>23</v>
      </c>
      <c r="C14" s="22">
        <v>40939</v>
      </c>
      <c r="D14" s="10">
        <f>C9*0.1</f>
        <v>300</v>
      </c>
      <c r="E14" s="14">
        <f>D14/$C$9*100</f>
        <v>10</v>
      </c>
      <c r="F14" s="51" t="s">
        <v>33</v>
      </c>
      <c r="G14" s="4"/>
      <c r="H14" s="35" t="s">
        <v>41</v>
      </c>
      <c r="I14" s="37">
        <f>SUMIF(F22:F23,"",D22:D23)</f>
        <v>0</v>
      </c>
    </row>
    <row r="15" spans="1:13" x14ac:dyDescent="0.2">
      <c r="B15" s="47" t="s">
        <v>160</v>
      </c>
      <c r="C15" s="22">
        <v>40939</v>
      </c>
      <c r="D15" s="10">
        <v>50</v>
      </c>
      <c r="E15" s="14">
        <f t="shared" ref="E15:E20" si="0">D15/$D$6*100</f>
        <v>6.25</v>
      </c>
      <c r="F15" s="2"/>
      <c r="H15" s="35" t="s">
        <v>44</v>
      </c>
      <c r="I15" s="37">
        <f ca="1">SUMIF(F26:F29,"",D26:D28)</f>
        <v>783.06</v>
      </c>
    </row>
    <row r="16" spans="1:13" x14ac:dyDescent="0.2">
      <c r="A16" s="53"/>
      <c r="B16" s="47" t="s">
        <v>161</v>
      </c>
      <c r="C16" s="22">
        <v>40939</v>
      </c>
      <c r="D16" s="10">
        <v>200</v>
      </c>
      <c r="E16" s="14">
        <f t="shared" si="0"/>
        <v>25</v>
      </c>
      <c r="F16" s="51"/>
      <c r="H16" s="35"/>
      <c r="I16" s="37"/>
    </row>
    <row r="17" spans="1:9" x14ac:dyDescent="0.2">
      <c r="A17" s="41"/>
      <c r="B17" s="47" t="s">
        <v>162</v>
      </c>
      <c r="C17" s="22">
        <v>40939</v>
      </c>
      <c r="D17" s="10">
        <v>10</v>
      </c>
      <c r="E17" s="14">
        <f t="shared" si="0"/>
        <v>1.25</v>
      </c>
      <c r="F17" s="51" t="s">
        <v>33</v>
      </c>
      <c r="G17" s="40"/>
      <c r="H17" s="36" t="s">
        <v>45</v>
      </c>
      <c r="I17" s="38">
        <f ca="1">SUM(I13:I15)</f>
        <v>1103.06</v>
      </c>
    </row>
    <row r="18" spans="1:9" x14ac:dyDescent="0.2">
      <c r="A18" s="41"/>
      <c r="B18" s="47" t="s">
        <v>163</v>
      </c>
      <c r="C18" s="22">
        <v>40939</v>
      </c>
      <c r="D18" s="10">
        <v>50</v>
      </c>
      <c r="E18" s="14">
        <f t="shared" si="0"/>
        <v>6.25</v>
      </c>
      <c r="F18" s="51" t="s">
        <v>33</v>
      </c>
      <c r="G18" s="53" t="s">
        <v>167</v>
      </c>
    </row>
    <row r="19" spans="1:9" x14ac:dyDescent="0.2">
      <c r="A19" s="41"/>
      <c r="B19" s="47" t="s">
        <v>164</v>
      </c>
      <c r="C19" s="22">
        <v>40939</v>
      </c>
      <c r="D19" s="10">
        <v>70</v>
      </c>
      <c r="E19" s="14">
        <f t="shared" si="0"/>
        <v>8.75</v>
      </c>
      <c r="F19" s="51"/>
    </row>
    <row r="20" spans="1:9" x14ac:dyDescent="0.2">
      <c r="B20" s="67" t="s">
        <v>57</v>
      </c>
      <c r="C20" s="54"/>
      <c r="D20" s="10">
        <f>SUM(D14:D19)</f>
        <v>680</v>
      </c>
      <c r="E20" s="14">
        <f t="shared" si="0"/>
        <v>85</v>
      </c>
      <c r="F20" s="51"/>
    </row>
    <row r="21" spans="1:9" x14ac:dyDescent="0.2">
      <c r="B21" s="46" t="s">
        <v>41</v>
      </c>
      <c r="C21" s="30"/>
      <c r="D21" s="31"/>
      <c r="E21" s="32"/>
      <c r="F21" s="51"/>
    </row>
    <row r="22" spans="1:9" x14ac:dyDescent="0.2">
      <c r="B22" s="47" t="s">
        <v>42</v>
      </c>
      <c r="C22" s="22">
        <v>40939</v>
      </c>
      <c r="D22" s="10">
        <v>0</v>
      </c>
      <c r="E22" s="14">
        <f>D22/$D$6*100</f>
        <v>0</v>
      </c>
      <c r="F22" s="51"/>
      <c r="G22" s="1" t="s">
        <v>165</v>
      </c>
    </row>
    <row r="23" spans="1:9" x14ac:dyDescent="0.2">
      <c r="A23" s="41"/>
      <c r="B23" s="47" t="s">
        <v>39</v>
      </c>
      <c r="C23" s="22">
        <v>40939</v>
      </c>
      <c r="D23" s="10">
        <v>0</v>
      </c>
      <c r="E23" s="14">
        <f>D23/$D$6*100</f>
        <v>0</v>
      </c>
      <c r="F23" s="51"/>
    </row>
    <row r="24" spans="1:9" x14ac:dyDescent="0.2">
      <c r="A24" s="53"/>
      <c r="B24" s="67" t="s">
        <v>57</v>
      </c>
      <c r="C24" s="54"/>
      <c r="D24" s="10">
        <f>SUM(D22:D23)</f>
        <v>0</v>
      </c>
      <c r="E24" s="14">
        <f>D24/$D$6*100</f>
        <v>0</v>
      </c>
      <c r="F24" s="51"/>
    </row>
    <row r="25" spans="1:9" x14ac:dyDescent="0.2">
      <c r="A25" s="53"/>
      <c r="B25" s="46" t="s">
        <v>40</v>
      </c>
      <c r="C25" s="33"/>
      <c r="D25" s="31"/>
      <c r="E25" s="32"/>
      <c r="F25" s="51"/>
    </row>
    <row r="26" spans="1:9" x14ac:dyDescent="0.2">
      <c r="A26" s="53"/>
      <c r="B26" s="47" t="s">
        <v>77</v>
      </c>
      <c r="C26" s="22">
        <v>40939</v>
      </c>
      <c r="D26" s="10">
        <v>91.53</v>
      </c>
      <c r="E26" s="14">
        <f>D26/$D$6*100</f>
        <v>11.44125</v>
      </c>
      <c r="F26" s="51"/>
    </row>
    <row r="27" spans="1:9" x14ac:dyDescent="0.2">
      <c r="B27" s="47" t="s">
        <v>78</v>
      </c>
      <c r="C27" s="22">
        <v>40939</v>
      </c>
      <c r="D27" s="10">
        <v>300</v>
      </c>
      <c r="E27" s="14">
        <f>D27/$D$6*100</f>
        <v>37.5</v>
      </c>
      <c r="F27" s="51"/>
      <c r="G27" s="1" t="s">
        <v>166</v>
      </c>
    </row>
    <row r="28" spans="1:9" x14ac:dyDescent="0.2">
      <c r="B28" s="47" t="s">
        <v>11</v>
      </c>
      <c r="C28" s="22">
        <v>40939</v>
      </c>
      <c r="D28" s="10">
        <v>0</v>
      </c>
      <c r="E28" s="14">
        <f>D28/$D$6*100</f>
        <v>0</v>
      </c>
    </row>
    <row r="29" spans="1:9" x14ac:dyDescent="0.2">
      <c r="B29" s="67" t="s">
        <v>57</v>
      </c>
      <c r="C29" s="54"/>
      <c r="D29" s="10">
        <f>SUM(D26:D28)</f>
        <v>391.53</v>
      </c>
      <c r="E29" s="14">
        <f>D29/$D$6*100</f>
        <v>48.941249999999997</v>
      </c>
      <c r="F29" s="51"/>
    </row>
    <row r="30" spans="1:9" x14ac:dyDescent="0.2">
      <c r="A30" s="41"/>
      <c r="B30" s="34"/>
      <c r="C30" s="33"/>
      <c r="D30" s="31"/>
      <c r="E30" s="32"/>
      <c r="F30" s="51"/>
    </row>
    <row r="31" spans="1:9" ht="13.5" thickBot="1" x14ac:dyDescent="0.25">
      <c r="A31" s="53"/>
      <c r="B31" s="125" t="s">
        <v>20</v>
      </c>
      <c r="C31" s="126"/>
      <c r="D31" s="18">
        <f>SUM(D14:D19,D22:D23,D26:D28)</f>
        <v>1071.53</v>
      </c>
      <c r="E31" s="56">
        <f>D31/$D$6*100</f>
        <v>133.94125</v>
      </c>
      <c r="F31" s="51"/>
    </row>
    <row r="32" spans="1:9" x14ac:dyDescent="0.2">
      <c r="B32" s="91"/>
      <c r="C32" s="91"/>
      <c r="D32" s="92"/>
      <c r="E32" s="93"/>
      <c r="F32" s="51"/>
    </row>
    <row r="34" spans="6:6" x14ac:dyDescent="0.2">
      <c r="F34" s="51"/>
    </row>
    <row r="35" spans="6:6" x14ac:dyDescent="0.2">
      <c r="F35" s="51"/>
    </row>
    <row r="36" spans="6:6" x14ac:dyDescent="0.2">
      <c r="F36" s="51"/>
    </row>
    <row r="37" spans="6:6" x14ac:dyDescent="0.2">
      <c r="F37" s="51"/>
    </row>
    <row r="38" spans="6:6" x14ac:dyDescent="0.2">
      <c r="F38" s="51"/>
    </row>
    <row r="39" spans="6:6" x14ac:dyDescent="0.2">
      <c r="F39" s="51"/>
    </row>
    <row r="40" spans="6:6" x14ac:dyDescent="0.2">
      <c r="F40" s="51"/>
    </row>
    <row r="41" spans="6:6" x14ac:dyDescent="0.2">
      <c r="F41" s="51"/>
    </row>
    <row r="42" spans="6:6" x14ac:dyDescent="0.2">
      <c r="F42" s="51"/>
    </row>
    <row r="43" spans="6:6" x14ac:dyDescent="0.2">
      <c r="F43" s="51"/>
    </row>
    <row r="44" spans="6:6" x14ac:dyDescent="0.2">
      <c r="F44" s="51"/>
    </row>
    <row r="45" spans="6:6" x14ac:dyDescent="0.2">
      <c r="F45" s="51"/>
    </row>
    <row r="46" spans="6:6" x14ac:dyDescent="0.2">
      <c r="F46" s="51"/>
    </row>
    <row r="47" spans="6:6" x14ac:dyDescent="0.2">
      <c r="F47" s="51"/>
    </row>
    <row r="48" spans="6:6" x14ac:dyDescent="0.2">
      <c r="F48" s="51"/>
    </row>
    <row r="49" spans="6:6" x14ac:dyDescent="0.2">
      <c r="F49" s="51"/>
    </row>
    <row r="50" spans="6:6" x14ac:dyDescent="0.2">
      <c r="F50" s="51"/>
    </row>
    <row r="51" spans="6:6" x14ac:dyDescent="0.2">
      <c r="F51" s="51"/>
    </row>
    <row r="52" spans="6:6" x14ac:dyDescent="0.2">
      <c r="F52" s="51"/>
    </row>
    <row r="53" spans="6:6" x14ac:dyDescent="0.2">
      <c r="F53" s="51"/>
    </row>
    <row r="54" spans="6:6" x14ac:dyDescent="0.2">
      <c r="F54" s="51"/>
    </row>
    <row r="55" spans="6:6" x14ac:dyDescent="0.2">
      <c r="F55" s="51"/>
    </row>
    <row r="56" spans="6:6" x14ac:dyDescent="0.2">
      <c r="F56" s="51"/>
    </row>
    <row r="57" spans="6:6" x14ac:dyDescent="0.2">
      <c r="F57" s="51"/>
    </row>
    <row r="58" spans="6:6" x14ac:dyDescent="0.2">
      <c r="F58" s="51"/>
    </row>
    <row r="59" spans="6:6" x14ac:dyDescent="0.2">
      <c r="F59" s="51"/>
    </row>
    <row r="60" spans="6:6" x14ac:dyDescent="0.2">
      <c r="F60" s="51"/>
    </row>
    <row r="61" spans="6:6" x14ac:dyDescent="0.2">
      <c r="F61" s="51"/>
    </row>
    <row r="62" spans="6:6" x14ac:dyDescent="0.2">
      <c r="F62" s="51"/>
    </row>
    <row r="63" spans="6:6" x14ac:dyDescent="0.2">
      <c r="F63" s="51"/>
    </row>
    <row r="64" spans="6:6" x14ac:dyDescent="0.2">
      <c r="F64" s="51"/>
    </row>
    <row r="65" spans="1:6" x14ac:dyDescent="0.2">
      <c r="F65" s="51"/>
    </row>
    <row r="66" spans="1:6" x14ac:dyDescent="0.2">
      <c r="F66" s="51"/>
    </row>
    <row r="67" spans="1:6" x14ac:dyDescent="0.2">
      <c r="F67" s="51"/>
    </row>
    <row r="68" spans="1:6" x14ac:dyDescent="0.2">
      <c r="F68" s="51"/>
    </row>
    <row r="69" spans="1:6" x14ac:dyDescent="0.2">
      <c r="F69" s="51"/>
    </row>
    <row r="70" spans="1:6" x14ac:dyDescent="0.2">
      <c r="F70" s="51"/>
    </row>
    <row r="71" spans="1:6" x14ac:dyDescent="0.2">
      <c r="F71" s="51"/>
    </row>
    <row r="72" spans="1:6" x14ac:dyDescent="0.2">
      <c r="F72" s="51"/>
    </row>
    <row r="73" spans="1:6" x14ac:dyDescent="0.2">
      <c r="F73" s="51"/>
    </row>
    <row r="74" spans="1:6" x14ac:dyDescent="0.2">
      <c r="F74" s="51"/>
    </row>
    <row r="75" spans="1:6" x14ac:dyDescent="0.2">
      <c r="F75" s="51"/>
    </row>
    <row r="76" spans="1:6" x14ac:dyDescent="0.2">
      <c r="B76" s="53"/>
      <c r="D76" s="4"/>
      <c r="F76" s="51"/>
    </row>
    <row r="77" spans="1:6" x14ac:dyDescent="0.2">
      <c r="B77" s="53"/>
      <c r="D77" s="4"/>
      <c r="F77" s="51"/>
    </row>
    <row r="78" spans="1:6" x14ac:dyDescent="0.2">
      <c r="B78" s="53"/>
      <c r="D78" s="4"/>
      <c r="F78" s="51"/>
    </row>
    <row r="79" spans="1:6" x14ac:dyDescent="0.2">
      <c r="B79" s="53"/>
      <c r="D79" s="4"/>
      <c r="F79" s="51"/>
    </row>
    <row r="80" spans="1:6" x14ac:dyDescent="0.2">
      <c r="A80" s="41"/>
      <c r="B80" s="53"/>
      <c r="D80" s="4"/>
      <c r="F80" s="51"/>
    </row>
    <row r="81" spans="2:6" x14ac:dyDescent="0.2">
      <c r="B81" s="53"/>
      <c r="D81" s="4"/>
      <c r="F81" s="51"/>
    </row>
    <row r="82" spans="2:6" x14ac:dyDescent="0.2">
      <c r="B82" s="53"/>
      <c r="D82" s="4"/>
      <c r="F82" s="51"/>
    </row>
    <row r="83" spans="2:6" x14ac:dyDescent="0.2">
      <c r="F83" s="39"/>
    </row>
    <row r="84" spans="2:6" x14ac:dyDescent="0.2">
      <c r="B84" s="53"/>
      <c r="D84" s="4"/>
    </row>
    <row r="86" spans="2:6" x14ac:dyDescent="0.2">
      <c r="B86" s="53"/>
      <c r="D86" s="4"/>
    </row>
  </sheetData>
  <mergeCells count="2">
    <mergeCell ref="H12:I12"/>
    <mergeCell ref="B31:C31"/>
  </mergeCells>
  <conditionalFormatting sqref="F29:F83 F14:F27">
    <cfRule type="cellIs" dxfId="170" priority="10" stopIfTrue="1" operator="equal">
      <formula>"ok"</formula>
    </cfRule>
  </conditionalFormatting>
  <conditionalFormatting sqref="E21 E23:E30 E14:E19">
    <cfRule type="cellIs" dxfId="169" priority="9" stopIfTrue="1" operator="greaterThan">
      <formula>15</formula>
    </cfRule>
  </conditionalFormatting>
  <conditionalFormatting sqref="I7:I10">
    <cfRule type="cellIs" dxfId="168" priority="8" stopIfTrue="1" operator="lessThan">
      <formula>0</formula>
    </cfRule>
  </conditionalFormatting>
  <conditionalFormatting sqref="E22">
    <cfRule type="cellIs" dxfId="167" priority="5" stopIfTrue="1" operator="lessThan">
      <formula>15</formula>
    </cfRule>
    <cfRule type="cellIs" dxfId="166" priority="6" stopIfTrue="1" operator="between">
      <formula>15</formula>
      <formula>19</formula>
    </cfRule>
    <cfRule type="cellIs" dxfId="165" priority="7" stopIfTrue="1" operator="greaterThanOrEqual">
      <formula>20</formula>
    </cfRule>
  </conditionalFormatting>
  <conditionalFormatting sqref="D26:D29 D15:D19">
    <cfRule type="cellIs" dxfId="164" priority="4" stopIfTrue="1" operator="greaterThan">
      <formula>400</formula>
    </cfRule>
  </conditionalFormatting>
  <conditionalFormatting sqref="D20 D29">
    <cfRule type="cellIs" dxfId="163" priority="3" operator="greaterThan">
      <formula>1100</formula>
    </cfRule>
  </conditionalFormatting>
  <conditionalFormatting sqref="D24">
    <cfRule type="cellIs" dxfId="162" priority="2" operator="lessThan">
      <formula>250</formula>
    </cfRule>
  </conditionalFormatting>
  <conditionalFormatting sqref="D26:D27 D17">
    <cfRule type="cellIs" dxfId="161" priority="1" stopIfTrue="1" operator="greaterThan">
      <formula>700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Resumo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Janeiro_11</vt:lpstr>
      <vt:lpstr>Fevereiro_11</vt:lpstr>
      <vt:lpstr>Março_11</vt:lpstr>
      <vt:lpstr>Abril_11</vt:lpstr>
      <vt:lpstr>Maio_11</vt:lpstr>
      <vt:lpstr>Junho_11</vt:lpstr>
      <vt:lpstr>Julho_11</vt:lpstr>
      <vt:lpstr>Agosto_11</vt:lpstr>
      <vt:lpstr>Setembro_11</vt:lpstr>
      <vt:lpstr>Outubro_11</vt:lpstr>
      <vt:lpstr>Novembro_11</vt:lpstr>
      <vt:lpstr>Dezembro_11</vt:lpstr>
      <vt:lpstr>Novembro</vt:lpstr>
      <vt:lpstr>Dezembro</vt:lpstr>
      <vt:lpstr>Dados</vt:lpstr>
    </vt:vector>
  </TitlesOfParts>
  <Company>Santander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Samuel Oliveira</cp:lastModifiedBy>
  <dcterms:created xsi:type="dcterms:W3CDTF">2010-04-19T15:36:34Z</dcterms:created>
  <dcterms:modified xsi:type="dcterms:W3CDTF">2012-11-17T02:42:45Z</dcterms:modified>
</cp:coreProperties>
</file>